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\Desktop\"/>
    </mc:Choice>
  </mc:AlternateContent>
  <bookViews>
    <workbookView xWindow="0" yWindow="0" windowWidth="19200" windowHeight="12285" tabRatio="573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Лист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H33" i="1" s="1"/>
  <c r="G27" i="1"/>
  <c r="H21" i="1"/>
  <c r="H25" i="1" s="1"/>
  <c r="G21" i="1"/>
  <c r="H17" i="1"/>
  <c r="C11" i="4" s="1"/>
  <c r="G17" i="1"/>
  <c r="C39" i="1"/>
  <c r="C34" i="1"/>
  <c r="C45" i="1"/>
  <c r="H49" i="1"/>
  <c r="H55" i="1"/>
  <c r="H61" i="1"/>
  <c r="H71" i="1"/>
  <c r="H79" i="1" s="1"/>
  <c r="D78" i="1"/>
  <c r="D84" i="1"/>
  <c r="D64" i="1"/>
  <c r="D75" i="1"/>
  <c r="D91" i="1"/>
  <c r="D32" i="1"/>
  <c r="D19" i="1"/>
  <c r="D27" i="1"/>
  <c r="D34" i="1"/>
  <c r="D39" i="1"/>
  <c r="D45" i="1" s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D15" i="4" s="1"/>
  <c r="D29" i="4" s="1"/>
  <c r="E11" i="4"/>
  <c r="E12" i="4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/>
  <c r="C12" i="4"/>
  <c r="C17" i="4"/>
  <c r="L17" i="4" s="1"/>
  <c r="C21" i="4"/>
  <c r="C24" i="4"/>
  <c r="L12" i="4"/>
  <c r="L13" i="4"/>
  <c r="L14" i="4"/>
  <c r="L16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N21" i="5"/>
  <c r="N22" i="5"/>
  <c r="N23" i="5"/>
  <c r="N24" i="5"/>
  <c r="N16" i="5"/>
  <c r="Q16" i="5" s="1"/>
  <c r="Q20" i="5"/>
  <c r="Q21" i="5"/>
  <c r="Q22" i="5"/>
  <c r="Q23" i="5"/>
  <c r="Q24" i="5"/>
  <c r="G10" i="5"/>
  <c r="G11" i="5"/>
  <c r="G12" i="5"/>
  <c r="J12" i="5" s="1"/>
  <c r="G13" i="5"/>
  <c r="G14" i="5"/>
  <c r="J14" i="5" s="1"/>
  <c r="G9" i="5"/>
  <c r="J10" i="5"/>
  <c r="N10" i="5"/>
  <c r="Q10" i="5"/>
  <c r="J11" i="5"/>
  <c r="N11" i="5"/>
  <c r="Q11" i="5" s="1"/>
  <c r="N12" i="5"/>
  <c r="Q12" i="5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C66" i="6" s="1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F105" i="6" s="1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79" i="8" s="1"/>
  <c r="C44" i="8"/>
  <c r="F78" i="8"/>
  <c r="E78" i="8"/>
  <c r="E61" i="8"/>
  <c r="E44" i="8"/>
  <c r="E27" i="8"/>
  <c r="E149" i="8"/>
  <c r="F27" i="8" l="1"/>
  <c r="E80" i="6"/>
  <c r="F96" i="6"/>
  <c r="N27" i="5"/>
  <c r="Q27" i="5" s="1"/>
  <c r="G27" i="5"/>
  <c r="J27" i="5" s="1"/>
  <c r="C15" i="4"/>
  <c r="E79" i="8"/>
  <c r="R24" i="5"/>
  <c r="R22" i="5"/>
  <c r="R20" i="5"/>
  <c r="R16" i="5"/>
  <c r="R36" i="5"/>
  <c r="R34" i="5"/>
  <c r="R32" i="5"/>
  <c r="R30" i="5"/>
  <c r="R28" i="5"/>
  <c r="J15" i="4"/>
  <c r="E15" i="4"/>
  <c r="D43" i="3"/>
  <c r="D45" i="3" s="1"/>
  <c r="D55" i="1"/>
  <c r="D97" i="6"/>
  <c r="R27" i="5"/>
  <c r="R39" i="5"/>
  <c r="C29" i="4"/>
  <c r="C32" i="4" s="1"/>
  <c r="E29" i="4"/>
  <c r="E32" i="4" s="1"/>
  <c r="F149" i="8"/>
  <c r="I26" i="7"/>
  <c r="D44" i="6"/>
  <c r="E38" i="6"/>
  <c r="C96" i="6"/>
  <c r="C97" i="6" s="1"/>
  <c r="E66" i="6"/>
  <c r="R14" i="5"/>
  <c r="R12" i="5"/>
  <c r="R10" i="5"/>
  <c r="K29" i="4"/>
  <c r="K32" i="4" s="1"/>
  <c r="C149" i="8"/>
  <c r="F44" i="8"/>
  <c r="F61" i="8"/>
  <c r="E11" i="6"/>
  <c r="E19" i="6" s="1"/>
  <c r="C43" i="6"/>
  <c r="E52" i="6"/>
  <c r="F66" i="6"/>
  <c r="F97" i="6" s="1"/>
  <c r="R9" i="5"/>
  <c r="R13" i="5"/>
  <c r="R11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L21" i="4"/>
  <c r="L11" i="4"/>
  <c r="G15" i="4"/>
  <c r="M15" i="4"/>
  <c r="M29" i="4" s="1"/>
  <c r="M32" i="4" s="1"/>
  <c r="C43" i="3"/>
  <c r="C45" i="3" s="1"/>
  <c r="D28" i="2"/>
  <c r="D33" i="2" s="1"/>
  <c r="J29" i="4"/>
  <c r="J32" i="4" s="1"/>
  <c r="G36" i="1"/>
  <c r="G94" i="1" s="1"/>
  <c r="C55" i="1"/>
  <c r="G28" i="2"/>
  <c r="G30" i="2" s="1"/>
  <c r="H28" i="2"/>
  <c r="H30" i="2" s="1"/>
  <c r="H36" i="1"/>
  <c r="H94" i="1" s="1"/>
  <c r="I15" i="4"/>
  <c r="F15" i="4"/>
  <c r="D93" i="1"/>
  <c r="D94" i="1" s="1"/>
  <c r="F79" i="8"/>
  <c r="C44" i="6"/>
  <c r="E43" i="6"/>
  <c r="E44" i="6" s="1"/>
  <c r="K40" i="5"/>
  <c r="N38" i="5"/>
  <c r="D40" i="5"/>
  <c r="G38" i="5"/>
  <c r="F29" i="4"/>
  <c r="F32" i="4" s="1"/>
  <c r="L15" i="4"/>
  <c r="C33" i="2"/>
  <c r="C93" i="1"/>
  <c r="E90" i="6"/>
  <c r="E85" i="6" s="1"/>
  <c r="E96" i="6" s="1"/>
  <c r="E97" i="6" s="1"/>
  <c r="R15" i="5"/>
  <c r="I29" i="4"/>
  <c r="I32" i="4" s="1"/>
  <c r="H29" i="4"/>
  <c r="H32" i="4" s="1"/>
  <c r="G29" i="4"/>
  <c r="G32" i="4" s="1"/>
  <c r="D32" i="4"/>
  <c r="H33" i="2"/>
  <c r="H34" i="2" s="1"/>
  <c r="C94" i="1" l="1"/>
  <c r="C30" i="2"/>
  <c r="L29" i="4"/>
  <c r="L32" i="4"/>
  <c r="G33" i="2"/>
  <c r="C39" i="2" s="1"/>
  <c r="C42" i="2" s="1"/>
  <c r="D30" i="2"/>
  <c r="D39" i="2"/>
  <c r="D34" i="2"/>
  <c r="H39" i="2" s="1"/>
  <c r="G40" i="5"/>
  <c r="J38" i="5"/>
  <c r="N40" i="5"/>
  <c r="Q38" i="5"/>
  <c r="Q40" i="5" s="1"/>
  <c r="C34" i="2" l="1"/>
  <c r="G34" i="2"/>
  <c r="H42" i="2"/>
  <c r="D41" i="2"/>
  <c r="J40" i="5"/>
  <c r="R38" i="5"/>
  <c r="R40" i="5" s="1"/>
  <c r="H41" i="2"/>
  <c r="D42" i="2"/>
  <c r="G41" i="2"/>
  <c r="G39" i="2" l="1"/>
  <c r="G42" i="2" s="1"/>
  <c r="C41" i="2"/>
</calcChain>
</file>

<file path=xl/sharedStrings.xml><?xml version="1.0" encoding="utf-8"?>
<sst xmlns="http://schemas.openxmlformats.org/spreadsheetml/2006/main" count="1068" uniqueCount="876">
  <si>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</si>
  <si>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</si>
  <si>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</si>
  <si>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</si>
  <si>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</si>
  <si>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</si>
  <si>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</si>
  <si>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</si>
  <si>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</si>
  <si>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</si>
  <si>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</si>
  <si>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</si>
  <si>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</si>
  <si>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</si>
  <si>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</si>
  <si>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</si>
  <si>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</si>
  <si>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</si>
  <si>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</si>
  <si>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</si>
  <si>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</si>
  <si>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</si>
  <si>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</si>
  <si>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</si>
  <si>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</si>
  <si>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</si>
  <si>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</si>
  <si>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</si>
  <si>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</si>
  <si>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</si>
  <si>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</si>
  <si>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</si>
  <si>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</si>
  <si>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</si>
  <si>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</si>
  <si>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</si>
  <si>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</si>
  <si>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</si>
  <si>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</si>
  <si>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</si>
  <si>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</si>
  <si>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</si>
  <si>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</si>
  <si>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</si>
  <si>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</si>
  <si>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</si>
  <si>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</si>
  <si>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</si>
  <si>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</si>
  <si>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</si>
  <si>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</si>
  <si>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</si>
  <si>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</si>
  <si>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</si>
  <si>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</si>
  <si>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</si>
  <si>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</si>
  <si>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</si>
  <si>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</si>
  <si>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</si>
  <si>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</si>
  <si>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</si>
  <si>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</si>
  <si>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</si>
  <si>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</si>
  <si>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</si>
  <si>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</si>
  <si>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</si>
  <si>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</si>
  <si>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</si>
  <si>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</si>
  <si>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</si>
  <si>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</si>
  <si>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</si>
  <si>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</si>
  <si>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</si>
  <si>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</si>
  <si>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</si>
  <si>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</si>
  <si>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</si>
  <si>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</si>
  <si>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</si>
  <si>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</si>
  <si>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</si>
  <si>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</si>
  <si>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</si>
  <si>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</si>
  <si>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</si>
  <si>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</si>
  <si>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</si>
  <si>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</si>
  <si>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</si>
  <si>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</si>
  <si>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</si>
  <si>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</si>
  <si>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</si>
  <si>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</si>
  <si>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</si>
  <si>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</si>
  <si>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</si>
  <si>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</si>
  <si>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</si>
  <si>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</si>
  <si>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</si>
  <si>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</si>
  <si>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</si>
  <si>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</si>
  <si>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</si>
  <si>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</si>
  <si>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</si>
  <si>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</si>
  <si>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</si>
  <si>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</si>
  <si>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</si>
  <si>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</si>
  <si>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</si>
  <si>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</si>
  <si>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</si>
  <si>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</si>
  <si>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</si>
  <si>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</si>
  <si>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</si>
  <si>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</si>
  <si>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</si>
  <si>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</si>
  <si>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</si>
  <si>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</si>
  <si>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</si>
  <si>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</si>
  <si>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</si>
  <si>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</si>
  <si>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</si>
  <si>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</si>
  <si>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</si>
  <si>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</si>
  <si>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</si>
  <si>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</si>
  <si>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</si>
  <si>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</si>
  <si>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</si>
  <si>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</si>
  <si>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</si>
  <si>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</si>
  <si>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</si>
  <si>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</si>
  <si>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</si>
  <si>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</si>
  <si>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</si>
  <si>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</si>
  <si>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</si>
  <si>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</si>
  <si>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</si>
  <si>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</si>
  <si>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</si>
  <si>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</si>
  <si>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</si>
  <si>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</si>
  <si>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</si>
  <si>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</si>
  <si>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</si>
  <si>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</si>
  <si>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</si>
  <si>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</si>
  <si>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</si>
  <si>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</si>
  <si>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</si>
  <si>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</si>
  <si>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</si>
  <si>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</si>
  <si>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</si>
  <si>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</si>
  <si>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</si>
  <si>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</si>
  <si>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</si>
  <si>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</si>
  <si>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</si>
  <si>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</si>
  <si>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</si>
  <si>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</si>
  <si>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</si>
  <si>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</si>
  <si>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</si>
  <si>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</si>
  <si>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</si>
  <si>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</si>
  <si>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</si>
  <si>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</si>
  <si>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</si>
  <si>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</si>
  <si>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</si>
  <si>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</si>
  <si>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</si>
  <si>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</si>
  <si>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</si>
  <si>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</si>
  <si>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</si>
  <si>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</si>
  <si>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</si>
  <si>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</si>
  <si>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</si>
  <si>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</si>
  <si>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</si>
  <si>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</si>
  <si>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</si>
  <si>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</si>
  <si>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</si>
  <si>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</si>
  <si>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</si>
  <si>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</si>
  <si>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</si>
  <si>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</si>
  <si>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</si>
  <si>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</si>
  <si>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</si>
  <si>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</si>
  <si>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</si>
  <si>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</si>
  <si>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</si>
  <si>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</si>
  <si>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</si>
  <si>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</si>
  <si>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</si>
  <si>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</si>
  <si>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</si>
  <si>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</si>
  <si>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</si>
  <si>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</si>
  <si>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</si>
  <si>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</si>
  <si>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</si>
  <si>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</si>
  <si>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</si>
  <si>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</si>
  <si>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</si>
  <si>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</si>
  <si>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</si>
  <si>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</si>
  <si>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</si>
  <si>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</si>
  <si>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</si>
  <si>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</si>
  <si>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</si>
  <si>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</si>
  <si>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</si>
  <si>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</si>
  <si>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</si>
  <si>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</si>
  <si>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</si>
  <si>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</si>
  <si>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</si>
  <si>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</si>
  <si>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</si>
  <si>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</si>
  <si>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</si>
  <si>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</si>
  <si>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</si>
  <si>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</si>
  <si>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</si>
  <si>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</si>
  <si>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</si>
  <si>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</si>
  <si>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</si>
  <si>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</si>
  <si>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</si>
  <si>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</si>
  <si>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</si>
  <si>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</si>
  <si>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</si>
  <si>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</si>
  <si>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</si>
  <si>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</si>
  <si>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</si>
  <si>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</si>
  <si>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</si>
  <si>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</si>
  <si>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</si>
  <si>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</si>
  <si>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</si>
  <si>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</si>
  <si>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</si>
  <si>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</si>
  <si>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</si>
  <si>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</si>
  <si>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</si>
  <si>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</si>
  <si>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</si>
  <si>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</si>
  <si>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</si>
  <si>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</si>
  <si>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</si>
  <si>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</si>
  <si>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</si>
  <si>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</si>
  <si>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</si>
  <si>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</si>
  <si>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</si>
  <si>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</si>
  <si>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</si>
  <si>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</si>
  <si>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</si>
  <si>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</si>
  <si>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</si>
  <si>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</si>
  <si>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</si>
  <si>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</si>
  <si>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</si>
  <si>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</si>
  <si>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</si>
  <si>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</si>
  <si>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</si>
  <si>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</si>
  <si>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</si>
  <si>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</si>
  <si>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</si>
  <si>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</si>
  <si>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</si>
  <si>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</si>
  <si>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</si>
  <si>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</si>
  <si>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</si>
  <si>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</si>
  <si>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</si>
  <si>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</si>
  <si>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</si>
  <si>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</si>
  <si>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</si>
  <si>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</si>
  <si>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</si>
  <si>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</si>
  <si>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</si>
  <si>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</si>
  <si>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</si>
  <si>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</si>
  <si>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</si>
  <si>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</si>
  <si>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</si>
  <si>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</si>
  <si>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</si>
  <si>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</si>
  <si>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</si>
  <si>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</si>
  <si>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</si>
  <si>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</si>
  <si>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</si>
  <si>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</si>
  <si>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</si>
  <si>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</si>
  <si>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</si>
  <si>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</si>
  <si>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</si>
  <si>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</si>
  <si>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</si>
  <si>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</si>
  <si>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</si>
  <si>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</si>
  <si>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</si>
  <si>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</si>
  <si>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</si>
  <si>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</si>
  <si>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</si>
  <si>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</si>
  <si>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</si>
  <si>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</si>
  <si>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</si>
  <si>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</si>
  <si>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</si>
  <si>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</si>
  <si>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</si>
  <si>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</si>
  <si>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</si>
  <si>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</si>
  <si>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</si>
  <si>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</si>
  <si>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</si>
  <si>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</si>
  <si>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</si>
  <si>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</si>
  <si>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</si>
  <si>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</si>
  <si>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</si>
  <si>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</si>
  <si>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</si>
  <si>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</si>
  <si>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</si>
  <si>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</si>
  <si>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</si>
  <si>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</si>
  <si>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</si>
  <si>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</si>
  <si>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</si>
  <si>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</si>
  <si>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</si>
  <si>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</si>
  <si>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</si>
  <si>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</si>
  <si>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</si>
  <si>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</si>
  <si>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</si>
  <si>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</si>
  <si>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</si>
  <si>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</si>
  <si>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</si>
  <si>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</si>
  <si>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</si>
  <si>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</si>
  <si>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</si>
  <si>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</si>
  <si>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</si>
  <si>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</si>
  <si>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</si>
  <si>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</si>
  <si>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</si>
  <si>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</si>
  <si>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</si>
  <si>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</si>
  <si>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</si>
  <si>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</si>
  <si>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</si>
  <si>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</si>
  <si>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</si>
  <si>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</si>
  <si>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</si>
  <si>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</si>
  <si>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</si>
  <si>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</si>
  <si>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</si>
  <si>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</si>
  <si>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</si>
  <si>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</si>
  <si>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</si>
  <si>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</si>
  <si>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</si>
  <si>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</si>
  <si>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</si>
  <si>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</si>
  <si>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</si>
  <si>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</si>
  <si>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</si>
  <si>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</si>
  <si>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</si>
  <si>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</si>
  <si>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</si>
  <si>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</si>
  <si>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</si>
  <si>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</si>
  <si>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</si>
  <si>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</si>
  <si>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</si>
  <si>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</si>
  <si>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</si>
  <si>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</si>
  <si>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</si>
  <si>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</si>
  <si>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</si>
  <si>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</si>
  <si>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</si>
  <si>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</si>
  <si>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</si>
  <si>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</si>
  <si>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</si>
  <si>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</si>
  <si>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</si>
  <si>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</si>
  <si>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</si>
  <si>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</si>
  <si>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</si>
  <si>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</si>
  <si>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</si>
  <si>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</si>
  <si>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</si>
  <si>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</si>
  <si>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</si>
  <si>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</si>
  <si>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</si>
  <si>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</si>
  <si>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</si>
  <si>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</si>
  <si>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</si>
  <si>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</si>
  <si>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</si>
  <si>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</si>
  <si>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</si>
  <si>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</si>
  <si>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</si>
  <si>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</si>
  <si>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</si>
  <si>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</si>
  <si>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</si>
  <si>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</si>
  <si>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</si>
  <si>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</si>
  <si>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</si>
  <si>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</si>
  <si>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</si>
  <si>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</si>
  <si>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</si>
  <si>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</si>
  <si>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</si>
  <si>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</si>
  <si>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</si>
  <si>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</si>
  <si>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</si>
  <si>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</si>
  <si>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</si>
  <si>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</si>
  <si>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</si>
  <si>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</si>
  <si>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</si>
  <si>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</si>
  <si>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</si>
  <si>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</si>
  <si>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</si>
  <si>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</si>
  <si>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</si>
  <si>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</si>
  <si>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</si>
  <si>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</si>
  <si>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</si>
  <si>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</si>
  <si>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</si>
  <si>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</si>
  <si>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</si>
  <si>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</si>
  <si>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</si>
  <si>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</si>
  <si>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</si>
  <si>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</si>
  <si>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</si>
  <si>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</si>
  <si>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</si>
  <si>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</si>
  <si>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</si>
  <si>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</si>
  <si>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</si>
  <si>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</si>
  <si>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</si>
  <si>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</si>
  <si>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</si>
  <si>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</si>
  <si>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</si>
  <si>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</si>
  <si>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</si>
  <si>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</si>
  <si>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</si>
  <si>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</si>
  <si>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</si>
  <si>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</si>
  <si>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</si>
  <si>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</si>
  <si>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</si>
  <si>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</si>
  <si>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</si>
  <si>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</si>
  <si>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</si>
  <si>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</si>
  <si>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</si>
  <si>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</si>
  <si>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</si>
  <si>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</si>
  <si>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</si>
  <si>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</si>
  <si>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</si>
  <si>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</si>
  <si>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</si>
  <si>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</si>
  <si>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</si>
  <si>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</si>
  <si>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</si>
  <si>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</si>
  <si>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</si>
  <si>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</si>
  <si>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</si>
  <si>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</si>
  <si>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</si>
  <si>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</si>
  <si>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</si>
  <si>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</si>
  <si>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</si>
  <si>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</si>
  <si>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</si>
  <si>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</si>
  <si>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</si>
  <si>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</si>
  <si>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</si>
  <si>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</si>
  <si>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</si>
  <si>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</si>
  <si>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</si>
  <si>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</si>
  <si>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</si>
  <si>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</si>
  <si>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</si>
  <si>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</si>
  <si>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</si>
  <si>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</si>
  <si>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</si>
  <si>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</si>
  <si>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</si>
  <si>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</si>
  <si>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</si>
  <si>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</si>
  <si>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</si>
  <si>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</si>
  <si>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</si>
  <si>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</si>
  <si>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</si>
  <si>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</si>
  <si>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</si>
  <si>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</si>
  <si>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</si>
  <si>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</si>
  <si>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</si>
  <si>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</si>
  <si>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</si>
  <si>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</si>
  <si>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</si>
  <si>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</si>
  <si>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</si>
  <si>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</si>
  <si>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</si>
  <si>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</si>
  <si>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</si>
  <si>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</si>
  <si>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</si>
  <si>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</si>
  <si>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</si>
  <si>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</si>
  <si>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</si>
  <si>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</si>
  <si>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</si>
  <si>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</si>
  <si>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</si>
  <si>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</si>
  <si>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</si>
  <si>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</si>
  <si>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</si>
  <si>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</si>
  <si>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</si>
  <si>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</si>
  <si>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</si>
  <si>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</si>
  <si>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</si>
  <si>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</si>
  <si>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</si>
  <si>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</si>
  <si>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</si>
  <si>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</si>
  <si>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</si>
  <si>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</si>
  <si>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</si>
  <si>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</si>
  <si>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</si>
  <si>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</si>
  <si>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</si>
  <si>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</si>
  <si>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</si>
  <si>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</si>
  <si>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</si>
  <si>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</si>
  <si>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</si>
  <si>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</si>
  <si>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</si>
  <si>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</si>
  <si>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</si>
  <si>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</si>
  <si>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</si>
  <si>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</si>
  <si>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</si>
  <si>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</si>
  <si>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</si>
  <si>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</si>
  <si>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</si>
  <si>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</si>
  <si>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</si>
  <si>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</si>
  <si>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</si>
  <si>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</si>
  <si>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</si>
  <si>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</si>
  <si>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</si>
  <si>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</si>
  <si>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</si>
  <si>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</si>
  <si>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</si>
  <si>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</si>
  <si>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</si>
  <si>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</si>
  <si>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</si>
  <si>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</si>
  <si>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</si>
  <si>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</si>
  <si>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</si>
  <si>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</si>
  <si>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</si>
  <si>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</si>
  <si>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</si>
  <si>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</si>
  <si>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</si>
  <si>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</si>
  <si>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</si>
  <si>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</si>
  <si>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</si>
  <si>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</si>
  <si>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</si>
  <si>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</si>
  <si>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</si>
  <si>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</si>
  <si>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</si>
  <si>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</si>
  <si>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</si>
  <si>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</si>
  <si>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</si>
  <si>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</si>
  <si>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</si>
  <si>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</si>
  <si>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</si>
  <si>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</si>
  <si>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</si>
  <si>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</si>
  <si>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</si>
  <si>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</si>
  <si>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</si>
  <si>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</si>
  <si>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</si>
  <si>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</si>
  <si>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</si>
  <si>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</si>
  <si>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</si>
  <si>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</si>
  <si>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</si>
  <si>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</si>
  <si>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</si>
  <si>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</si>
  <si>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</si>
  <si>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</si>
  <si>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</si>
  <si>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</si>
  <si>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</si>
  <si>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</si>
  <si>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</si>
  <si>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</si>
  <si>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</si>
  <si>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</si>
  <si>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</si>
  <si>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</si>
  <si>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</si>
  <si>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</si>
  <si>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</si>
  <si>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</si>
  <si>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</si>
  <si>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</si>
  <si>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</si>
  <si>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</si>
  <si>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</si>
  <si>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</si>
  <si>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</si>
  <si>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</si>
  <si>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</si>
  <si>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</si>
  <si>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</si>
  <si>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</si>
  <si>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</si>
  <si>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</si>
  <si>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</si>
  <si>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</si>
  <si>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</si>
  <si>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</si>
  <si>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</si>
  <si>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</si>
  <si>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</si>
  <si>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</si>
  <si>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</si>
  <si>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</si>
  <si>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</si>
  <si>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</si>
  <si>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</si>
  <si>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</si>
  <si>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</si>
  <si>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</si>
  <si>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</si>
  <si>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</si>
  <si>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</si>
  <si>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</si>
  <si>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</si>
  <si>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</si>
  <si>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</si>
  <si>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</si>
  <si>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</si>
  <si>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</si>
  <si>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</si>
  <si>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</si>
  <si>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</si>
  <si>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</si>
  <si>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</si>
  <si>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</si>
  <si>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</si>
  <si>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</si>
  <si>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</si>
  <si>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</si>
  <si>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</si>
  <si>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</si>
  <si>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</si>
  <si>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</si>
  <si>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</si>
  <si>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</si>
  <si>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</si>
  <si>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</si>
  <si>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</si>
  <si>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</si>
  <si>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</si>
  <si>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</si>
  <si>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</si>
  <si>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</si>
  <si>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</si>
  <si>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</si>
  <si>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</si>
  <si>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</si>
  <si>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</si>
  <si>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</si>
  <si>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</si>
  <si>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</si>
  <si>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</si>
  <si>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</si>
  <si>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</si>
  <si>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</si>
  <si>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</si>
  <si>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</si>
  <si>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</si>
  <si>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</si>
  <si>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</si>
  <si>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</si>
  <si>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</si>
  <si>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</si>
  <si>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</si>
  <si>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</si>
  <si>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</si>
  <si>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</si>
  <si>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</si>
  <si>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</si>
  <si>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</si>
  <si>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</si>
  <si>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</si>
  <si>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</si>
  <si>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</si>
  <si>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</si>
  <si>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</si>
  <si>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</si>
  <si>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</si>
  <si>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</si>
  <si>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</si>
  <si>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</si>
  <si>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</si>
  <si>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</si>
  <si>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</si>
  <si>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</si>
  <si>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</si>
  <si>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</si>
  <si>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</si>
  <si>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МИЛЕВИ ООД</t>
  </si>
  <si>
    <t>неконсолидиран</t>
  </si>
  <si>
    <t>Ръководител: Бойко Милев</t>
  </si>
  <si>
    <t>Съставител: Добринка Добрева</t>
  </si>
  <si>
    <t xml:space="preserve">              Съставител: </t>
  </si>
  <si>
    <t>Добринка Добрева</t>
  </si>
  <si>
    <t xml:space="preserve">           Ръководител:           </t>
  </si>
  <si>
    <t>Бойко Милев</t>
  </si>
  <si>
    <t xml:space="preserve">    Съставител: Добринка Добрева                      </t>
  </si>
  <si>
    <t>Ръководител:Бойко Милев</t>
  </si>
  <si>
    <t>Съставител:Добринка Добрева</t>
  </si>
  <si>
    <t>Дата на съставяне: 26.01.2017г.</t>
  </si>
  <si>
    <t>26.01.2017г.</t>
  </si>
  <si>
    <t xml:space="preserve">Дата на съставяне:   26.01.2017г.                                    </t>
  </si>
  <si>
    <t>01.01.2016-31.12.2016г.</t>
  </si>
  <si>
    <t xml:space="preserve">Дата  на съставяне: 26.01.2017г.                                                                                                                             </t>
  </si>
  <si>
    <t xml:space="preserve">Дата на съставяне: 26.01.2017г.                 </t>
  </si>
  <si>
    <r>
      <t xml:space="preserve">Дата на съставяне: </t>
    </r>
    <r>
      <rPr>
        <sz val="10"/>
        <rFont val="Times New Roman"/>
        <family val="1"/>
        <charset val="204"/>
      </rPr>
      <t>26.01.2017г.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</si>
</sst>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Валута" xfId="1" builtinId="4"/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13" workbookViewId="0">
      <selection activeCell="E6" sqref="E6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858</v>
      </c>
      <c r="F3" s="217" t="s">
        <v>2</v>
      </c>
      <c r="G3" s="172"/>
      <c r="H3" s="461">
        <v>125547918</v>
      </c>
    </row>
    <row r="4" spans="1:8" ht="15">
      <c r="A4" s="575" t="s">
        <v>3</v>
      </c>
      <c r="B4" s="581"/>
      <c r="C4" s="581"/>
      <c r="D4" s="581"/>
      <c r="E4" s="504" t="s">
        <v>859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872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26</v>
      </c>
      <c r="D11" s="151">
        <v>26</v>
      </c>
      <c r="E11" s="237" t="s">
        <v>22</v>
      </c>
      <c r="F11" s="242" t="s">
        <v>23</v>
      </c>
      <c r="G11" s="152">
        <v>205</v>
      </c>
      <c r="H11" s="152">
        <v>205</v>
      </c>
    </row>
    <row r="12" spans="1:8" ht="15">
      <c r="A12" s="235" t="s">
        <v>24</v>
      </c>
      <c r="B12" s="241" t="s">
        <v>25</v>
      </c>
      <c r="C12" s="151">
        <v>300</v>
      </c>
      <c r="D12" s="151">
        <v>320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640</v>
      </c>
      <c r="D13" s="151">
        <v>684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</v>
      </c>
      <c r="D14" s="151">
        <v>126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205</v>
      </c>
      <c r="H17" s="154">
        <f>H11+H14+H15+H16</f>
        <v>205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31</v>
      </c>
      <c r="D18" s="151">
        <v>33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1004</v>
      </c>
      <c r="D19" s="155">
        <f>SUM(D11:D18)</f>
        <v>1189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871</v>
      </c>
      <c r="H21" s="156">
        <f>SUM(H22:H24)</f>
        <v>871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822</v>
      </c>
      <c r="H22" s="152">
        <v>822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v>49</v>
      </c>
      <c r="H24" s="152">
        <v>49</v>
      </c>
    </row>
    <row r="25" spans="1:18" ht="15">
      <c r="A25" s="235" t="s">
        <v>74</v>
      </c>
      <c r="B25" s="241" t="s">
        <v>75</v>
      </c>
      <c r="C25" s="151">
        <v>57</v>
      </c>
      <c r="D25" s="151">
        <v>57</v>
      </c>
      <c r="E25" s="253" t="s">
        <v>76</v>
      </c>
      <c r="F25" s="245" t="s">
        <v>77</v>
      </c>
      <c r="G25" s="154">
        <f>G19+G20+G21</f>
        <v>871</v>
      </c>
      <c r="H25" s="154">
        <f>H19+H20+H21</f>
        <v>871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57</v>
      </c>
      <c r="D27" s="155">
        <f>SUM(D23:D26)</f>
        <v>57</v>
      </c>
      <c r="E27" s="253" t="s">
        <v>83</v>
      </c>
      <c r="F27" s="242" t="s">
        <v>84</v>
      </c>
      <c r="G27" s="154">
        <f>SUM(G28:G30)</f>
        <v>2</v>
      </c>
      <c r="H27" s="154">
        <f>SUM(H28:H30)</f>
        <v>21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21</v>
      </c>
      <c r="H28" s="152">
        <v>21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-19</v>
      </c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15</v>
      </c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>
        <v>-19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17</v>
      </c>
      <c r="H33" s="154">
        <f>H27+H31+H32</f>
        <v>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847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1093</v>
      </c>
      <c r="H36" s="154">
        <f>H25+H17+H33</f>
        <v>1078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1061</v>
      </c>
      <c r="D55" s="155">
        <f>D19+D20+D21+D27+D32+D45+D51+D53+D54</f>
        <v>1246</v>
      </c>
      <c r="E55" s="237" t="s">
        <v>172</v>
      </c>
      <c r="F55" s="261" t="s">
        <v>173</v>
      </c>
      <c r="G55" s="154">
        <f>G49+G51+G52+G53+G54</f>
        <v>0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8</v>
      </c>
      <c r="D58" s="151">
        <v>19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24</v>
      </c>
      <c r="H59" s="152">
        <v>59</v>
      </c>
      <c r="M59" s="157"/>
    </row>
    <row r="60" spans="1:18" ht="15">
      <c r="A60" s="235" t="s">
        <v>183</v>
      </c>
      <c r="B60" s="241" t="s">
        <v>184</v>
      </c>
      <c r="C60" s="151">
        <v>40</v>
      </c>
      <c r="D60" s="151">
        <v>20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45</v>
      </c>
      <c r="H61" s="154">
        <f>SUM(H62:H68)</f>
        <v>169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48</v>
      </c>
      <c r="D64" s="155">
        <f>SUM(D58:D63)</f>
        <v>39</v>
      </c>
      <c r="E64" s="237" t="s">
        <v>200</v>
      </c>
      <c r="F64" s="242" t="s">
        <v>201</v>
      </c>
      <c r="G64" s="152">
        <v>6</v>
      </c>
      <c r="H64" s="152">
        <v>14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33</v>
      </c>
      <c r="H65" s="152">
        <v>155</v>
      </c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3</v>
      </c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22</v>
      </c>
      <c r="D68" s="151">
        <v>6</v>
      </c>
      <c r="E68" s="237" t="s">
        <v>213</v>
      </c>
      <c r="F68" s="242" t="s">
        <v>214</v>
      </c>
      <c r="G68" s="152">
        <v>3</v>
      </c>
      <c r="H68" s="152"/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69</v>
      </c>
      <c r="H71" s="161">
        <f>H59+H60+H61+H69+H70</f>
        <v>228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2</v>
      </c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>
        <v>4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24</v>
      </c>
      <c r="D75" s="155">
        <f>SUM(D67:D74)</f>
        <v>10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69</v>
      </c>
      <c r="H79" s="162">
        <f>H71+H74+H75+H76</f>
        <v>228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25</v>
      </c>
      <c r="D87" s="151">
        <v>11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4</v>
      </c>
      <c r="D88" s="151"/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29</v>
      </c>
      <c r="D91" s="155">
        <f>SUM(D87:D90)</f>
        <v>11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101</v>
      </c>
      <c r="D93" s="155">
        <f>D64+D75+D84+D91+D92</f>
        <v>60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1162</v>
      </c>
      <c r="D94" s="164">
        <f>D93+D55</f>
        <v>1306</v>
      </c>
      <c r="E94" s="449" t="s">
        <v>270</v>
      </c>
      <c r="F94" s="289" t="s">
        <v>271</v>
      </c>
      <c r="G94" s="165">
        <f>G36+G39+G55+G79</f>
        <v>1162</v>
      </c>
      <c r="H94" s="165">
        <f>H36+H39+H55+H79</f>
        <v>1306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848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869</v>
      </c>
      <c r="B98" s="432"/>
      <c r="C98" s="579" t="s">
        <v>861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860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8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0"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МИЛЕВИ ООД</v>
      </c>
      <c r="C2" s="584"/>
      <c r="D2" s="584"/>
      <c r="E2" s="584"/>
      <c r="F2" s="586" t="s">
        <v>2</v>
      </c>
      <c r="G2" s="586"/>
      <c r="H2" s="526">
        <f>'справка №1-БАЛАНС'!H3</f>
        <v>125547918</v>
      </c>
    </row>
    <row r="3" spans="1:18" ht="15">
      <c r="A3" s="467" t="s">
        <v>274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01.01.2016-31.12.2016г.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90</v>
      </c>
      <c r="D9" s="46">
        <v>250</v>
      </c>
      <c r="E9" s="298" t="s">
        <v>284</v>
      </c>
      <c r="F9" s="549" t="s">
        <v>285</v>
      </c>
      <c r="G9" s="550">
        <v>211</v>
      </c>
      <c r="H9" s="550">
        <v>162</v>
      </c>
    </row>
    <row r="10" spans="1:18">
      <c r="A10" s="298" t="s">
        <v>286</v>
      </c>
      <c r="B10" s="299" t="s">
        <v>287</v>
      </c>
      <c r="C10" s="46">
        <v>16</v>
      </c>
      <c r="D10" s="46">
        <v>28</v>
      </c>
      <c r="E10" s="298" t="s">
        <v>288</v>
      </c>
      <c r="F10" s="549" t="s">
        <v>289</v>
      </c>
      <c r="G10" s="550">
        <v>24</v>
      </c>
      <c r="H10" s="550">
        <v>185</v>
      </c>
    </row>
    <row r="11" spans="1:18">
      <c r="A11" s="298" t="s">
        <v>290</v>
      </c>
      <c r="B11" s="299" t="s">
        <v>291</v>
      </c>
      <c r="C11" s="46">
        <v>78</v>
      </c>
      <c r="D11" s="46">
        <v>93</v>
      </c>
      <c r="E11" s="300" t="s">
        <v>292</v>
      </c>
      <c r="F11" s="549" t="s">
        <v>293</v>
      </c>
      <c r="G11" s="550">
        <v>45</v>
      </c>
      <c r="H11" s="550">
        <v>13</v>
      </c>
    </row>
    <row r="12" spans="1:18">
      <c r="A12" s="298" t="s">
        <v>294</v>
      </c>
      <c r="B12" s="299" t="s">
        <v>295</v>
      </c>
      <c r="C12" s="46">
        <v>5</v>
      </c>
      <c r="D12" s="46">
        <v>35</v>
      </c>
      <c r="E12" s="300" t="s">
        <v>78</v>
      </c>
      <c r="F12" s="549" t="s">
        <v>296</v>
      </c>
      <c r="G12" s="550"/>
      <c r="H12" s="550">
        <v>155</v>
      </c>
    </row>
    <row r="13" spans="1:18">
      <c r="A13" s="298" t="s">
        <v>297</v>
      </c>
      <c r="B13" s="299" t="s">
        <v>298</v>
      </c>
      <c r="C13" s="46">
        <v>2</v>
      </c>
      <c r="D13" s="46">
        <v>5</v>
      </c>
      <c r="E13" s="301" t="s">
        <v>51</v>
      </c>
      <c r="F13" s="551" t="s">
        <v>299</v>
      </c>
      <c r="G13" s="548">
        <f>SUM(G9:G12)</f>
        <v>280</v>
      </c>
      <c r="H13" s="548">
        <f>SUM(H9:H12)</f>
        <v>515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>
        <v>60</v>
      </c>
      <c r="D14" s="46">
        <v>114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>
        <v>5</v>
      </c>
    </row>
    <row r="16" spans="1:18">
      <c r="A16" s="298" t="s">
        <v>306</v>
      </c>
      <c r="B16" s="299" t="s">
        <v>307</v>
      </c>
      <c r="C16" s="47">
        <v>12</v>
      </c>
      <c r="D16" s="47">
        <v>14</v>
      </c>
      <c r="E16" s="298" t="s">
        <v>308</v>
      </c>
      <c r="F16" s="552" t="s">
        <v>309</v>
      </c>
      <c r="G16" s="555"/>
      <c r="H16" s="555">
        <v>5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263</v>
      </c>
      <c r="D19" s="49">
        <f>SUM(D9:D15)+D16</f>
        <v>539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</v>
      </c>
      <c r="D22" s="46"/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2</v>
      </c>
      <c r="D26" s="49">
        <f>SUM(D22:D25)</f>
        <v>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265</v>
      </c>
      <c r="D28" s="50">
        <f>D26+D19</f>
        <v>539</v>
      </c>
      <c r="E28" s="127" t="s">
        <v>338</v>
      </c>
      <c r="F28" s="554" t="s">
        <v>339</v>
      </c>
      <c r="G28" s="548">
        <f>G13+G15+G24</f>
        <v>280</v>
      </c>
      <c r="H28" s="548">
        <f>H13+H15+H24</f>
        <v>520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15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19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849</v>
      </c>
      <c r="B31" s="306" t="s">
        <v>344</v>
      </c>
      <c r="C31" s="46"/>
      <c r="D31" s="46"/>
      <c r="E31" s="296" t="s">
        <v>852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265</v>
      </c>
      <c r="D33" s="49">
        <f>D28-D31+D32</f>
        <v>539</v>
      </c>
      <c r="E33" s="127" t="s">
        <v>352</v>
      </c>
      <c r="F33" s="554" t="s">
        <v>353</v>
      </c>
      <c r="G33" s="53">
        <f>G32-G31+G28</f>
        <v>280</v>
      </c>
      <c r="H33" s="53">
        <f>H32-H31+H28</f>
        <v>520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15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19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15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19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15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19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280</v>
      </c>
      <c r="D42" s="53">
        <f>D33+D35+D39</f>
        <v>539</v>
      </c>
      <c r="E42" s="128" t="s">
        <v>379</v>
      </c>
      <c r="F42" s="129" t="s">
        <v>380</v>
      </c>
      <c r="G42" s="53">
        <f>G39+G33</f>
        <v>280</v>
      </c>
      <c r="H42" s="53">
        <f>H39+H33</f>
        <v>539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856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870</v>
      </c>
      <c r="C48" s="427" t="s">
        <v>381</v>
      </c>
      <c r="D48" s="582" t="s">
        <v>863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779</v>
      </c>
      <c r="D50" s="583" t="s">
        <v>865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9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МИЛЕВИ ООД</v>
      </c>
      <c r="C4" s="541" t="s">
        <v>2</v>
      </c>
      <c r="D4" s="541">
        <f>'справка №1-БАЛАНС'!H3</f>
        <v>125547918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01.01.2016-31.12.2016г.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291</v>
      </c>
      <c r="D10" s="54">
        <v>597</v>
      </c>
      <c r="E10" s="130"/>
      <c r="F10" s="130"/>
    </row>
    <row r="11" spans="1:13">
      <c r="A11" s="332" t="s">
        <v>388</v>
      </c>
      <c r="B11" s="333" t="s">
        <v>389</v>
      </c>
      <c r="C11" s="54">
        <v>-152</v>
      </c>
      <c r="D11" s="54">
        <v>-430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-23</v>
      </c>
      <c r="D13" s="54">
        <v>-40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-2</v>
      </c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-46</v>
      </c>
      <c r="D19" s="54">
        <v>-48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68</v>
      </c>
      <c r="D20" s="55">
        <f>SUM(D10:D19)</f>
        <v>79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-45</v>
      </c>
      <c r="D37" s="54">
        <v>-61</v>
      </c>
      <c r="E37" s="130"/>
      <c r="F37" s="130"/>
    </row>
    <row r="38" spans="1:8">
      <c r="A38" s="332" t="s">
        <v>439</v>
      </c>
      <c r="B38" s="333" t="s">
        <v>440</v>
      </c>
      <c r="C38" s="54">
        <v>-5</v>
      </c>
      <c r="D38" s="54">
        <v>-10</v>
      </c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/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-50</v>
      </c>
      <c r="D42" s="55">
        <f>SUM(D34:D41)</f>
        <v>-71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18</v>
      </c>
      <c r="D43" s="55">
        <f>D42+D32+D20</f>
        <v>8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11</v>
      </c>
      <c r="D44" s="132">
        <v>3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29</v>
      </c>
      <c r="D45" s="55">
        <f>D44+D43</f>
        <v>11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/>
      <c r="D46" s="56"/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871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868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867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МИЛЕВИ 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125547918</v>
      </c>
      <c r="N3" s="2"/>
    </row>
    <row r="4" spans="1:23" s="532" customFormat="1" ht="13.5" customHeight="1">
      <c r="A4" s="467" t="s">
        <v>460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01.01.2016-31.12.2016г.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205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822</v>
      </c>
      <c r="G11" s="58">
        <f>'справка №1-БАЛАНС'!H23</f>
        <v>0</v>
      </c>
      <c r="H11" s="60">
        <v>49</v>
      </c>
      <c r="I11" s="58">
        <f>'справка №1-БАЛАНС'!H28+'справка №1-БАЛАНС'!H31</f>
        <v>21</v>
      </c>
      <c r="J11" s="58">
        <f>'справка №1-БАЛАНС'!H29+'справка №1-БАЛАНС'!H32</f>
        <v>-19</v>
      </c>
      <c r="K11" s="60"/>
      <c r="L11" s="344">
        <f>SUM(C11:K11)</f>
        <v>1078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205</v>
      </c>
      <c r="D15" s="61">
        <f t="shared" ref="D15:M15" si="2">D11+D12</f>
        <v>0</v>
      </c>
      <c r="E15" s="61">
        <f t="shared" si="2"/>
        <v>0</v>
      </c>
      <c r="F15" s="61">
        <f t="shared" si="2"/>
        <v>822</v>
      </c>
      <c r="G15" s="61">
        <f t="shared" si="2"/>
        <v>0</v>
      </c>
      <c r="H15" s="61">
        <f t="shared" si="2"/>
        <v>49</v>
      </c>
      <c r="I15" s="61">
        <f t="shared" si="2"/>
        <v>21</v>
      </c>
      <c r="J15" s="61">
        <f t="shared" si="2"/>
        <v>-19</v>
      </c>
      <c r="K15" s="61">
        <f t="shared" si="2"/>
        <v>0</v>
      </c>
      <c r="L15" s="344">
        <f t="shared" si="1"/>
        <v>1078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15</v>
      </c>
      <c r="J16" s="345">
        <f>+'справка №1-БАЛАНС'!G32</f>
        <v>0</v>
      </c>
      <c r="K16" s="60"/>
      <c r="L16" s="344">
        <f t="shared" si="1"/>
        <v>15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205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822</v>
      </c>
      <c r="G29" s="59">
        <f t="shared" si="6"/>
        <v>0</v>
      </c>
      <c r="H29" s="59">
        <f t="shared" si="6"/>
        <v>49</v>
      </c>
      <c r="I29" s="59">
        <f t="shared" si="6"/>
        <v>36</v>
      </c>
      <c r="J29" s="59">
        <f t="shared" si="6"/>
        <v>-19</v>
      </c>
      <c r="K29" s="59">
        <f t="shared" si="6"/>
        <v>0</v>
      </c>
      <c r="L29" s="344">
        <f t="shared" si="1"/>
        <v>1093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205</v>
      </c>
      <c r="D32" s="59">
        <f t="shared" si="7"/>
        <v>0</v>
      </c>
      <c r="E32" s="59">
        <f t="shared" si="7"/>
        <v>0</v>
      </c>
      <c r="F32" s="59">
        <f t="shared" si="7"/>
        <v>822</v>
      </c>
      <c r="G32" s="59">
        <f t="shared" si="7"/>
        <v>0</v>
      </c>
      <c r="H32" s="59">
        <f t="shared" si="7"/>
        <v>49</v>
      </c>
      <c r="I32" s="59">
        <f t="shared" si="7"/>
        <v>36</v>
      </c>
      <c r="J32" s="59">
        <f t="shared" si="7"/>
        <v>-19</v>
      </c>
      <c r="K32" s="59">
        <f t="shared" si="7"/>
        <v>0</v>
      </c>
      <c r="L32" s="344">
        <f t="shared" si="1"/>
        <v>1093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857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873</v>
      </c>
      <c r="B38" s="19"/>
      <c r="C38" s="15"/>
      <c r="D38" s="590" t="s">
        <v>862</v>
      </c>
      <c r="E38" s="590"/>
      <c r="F38" s="590" t="s">
        <v>863</v>
      </c>
      <c r="G38" s="590"/>
      <c r="H38" s="590"/>
      <c r="I38" s="590"/>
      <c r="J38" s="15" t="s">
        <v>864</v>
      </c>
      <c r="K38" s="15"/>
      <c r="L38" s="590" t="s">
        <v>865</v>
      </c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0" workbookViewId="0">
      <selection activeCell="B45" sqref="B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383</v>
      </c>
      <c r="B2" s="597"/>
      <c r="C2" s="598" t="str">
        <f>'справка №1-БАЛАНС'!E3</f>
        <v>МИЛЕВИ 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125547918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01.01.2016-31.12.2016г.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5" t="s">
        <v>463</v>
      </c>
      <c r="B5" s="606"/>
      <c r="C5" s="609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2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2" t="s">
        <v>528</v>
      </c>
      <c r="R5" s="602" t="s">
        <v>529</v>
      </c>
    </row>
    <row r="6" spans="1:28" s="100" customFormat="1" ht="48">
      <c r="A6" s="607"/>
      <c r="B6" s="608"/>
      <c r="C6" s="610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3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3"/>
      <c r="R6" s="603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26</v>
      </c>
      <c r="E9" s="189"/>
      <c r="F9" s="189"/>
      <c r="G9" s="74">
        <f>D9+E9-F9</f>
        <v>26</v>
      </c>
      <c r="H9" s="65"/>
      <c r="I9" s="65"/>
      <c r="J9" s="74">
        <f>G9+H9-I9</f>
        <v>26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26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320</v>
      </c>
      <c r="E10" s="189"/>
      <c r="F10" s="189"/>
      <c r="G10" s="74">
        <f t="shared" ref="G10:G39" si="2">D10+E10-F10</f>
        <v>320</v>
      </c>
      <c r="H10" s="65"/>
      <c r="I10" s="65"/>
      <c r="J10" s="74">
        <f t="shared" ref="J10:J39" si="3">G10+H10-I10</f>
        <v>320</v>
      </c>
      <c r="K10" s="65"/>
      <c r="L10" s="65">
        <v>15</v>
      </c>
      <c r="M10" s="65"/>
      <c r="N10" s="74">
        <f t="shared" ref="N10:N39" si="4">K10+L10-M10</f>
        <v>15</v>
      </c>
      <c r="O10" s="65"/>
      <c r="P10" s="65"/>
      <c r="Q10" s="74">
        <f t="shared" si="0"/>
        <v>15</v>
      </c>
      <c r="R10" s="74">
        <f t="shared" si="1"/>
        <v>305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684</v>
      </c>
      <c r="E11" s="189"/>
      <c r="F11" s="189"/>
      <c r="G11" s="74">
        <f t="shared" si="2"/>
        <v>684</v>
      </c>
      <c r="H11" s="65"/>
      <c r="I11" s="65"/>
      <c r="J11" s="74">
        <f t="shared" si="3"/>
        <v>684</v>
      </c>
      <c r="K11" s="65"/>
      <c r="L11" s="65">
        <v>24</v>
      </c>
      <c r="M11" s="65"/>
      <c r="N11" s="74">
        <f t="shared" si="4"/>
        <v>24</v>
      </c>
      <c r="O11" s="65"/>
      <c r="P11" s="65"/>
      <c r="Q11" s="74">
        <f t="shared" si="0"/>
        <v>24</v>
      </c>
      <c r="R11" s="74">
        <f t="shared" si="1"/>
        <v>660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126</v>
      </c>
      <c r="E12" s="189"/>
      <c r="F12" s="189"/>
      <c r="G12" s="74">
        <f t="shared" si="2"/>
        <v>126</v>
      </c>
      <c r="H12" s="65"/>
      <c r="I12" s="65"/>
      <c r="J12" s="74">
        <f t="shared" si="3"/>
        <v>126</v>
      </c>
      <c r="K12" s="65"/>
      <c r="L12" s="65">
        <v>7</v>
      </c>
      <c r="M12" s="65"/>
      <c r="N12" s="74">
        <f t="shared" si="4"/>
        <v>7</v>
      </c>
      <c r="O12" s="65"/>
      <c r="P12" s="65"/>
      <c r="Q12" s="74">
        <f t="shared" si="0"/>
        <v>7</v>
      </c>
      <c r="R12" s="74">
        <f t="shared" si="1"/>
        <v>119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853</v>
      </c>
      <c r="B15" s="374" t="s">
        <v>854</v>
      </c>
      <c r="C15" s="456" t="s">
        <v>855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>
        <v>33</v>
      </c>
      <c r="E16" s="189"/>
      <c r="F16" s="189"/>
      <c r="G16" s="74">
        <f t="shared" si="2"/>
        <v>33</v>
      </c>
      <c r="H16" s="65"/>
      <c r="I16" s="65"/>
      <c r="J16" s="74">
        <f t="shared" si="3"/>
        <v>33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33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1189</v>
      </c>
      <c r="E17" s="194">
        <f>SUM(E9:E16)</f>
        <v>0</v>
      </c>
      <c r="F17" s="194">
        <f>SUM(F9:F16)</f>
        <v>0</v>
      </c>
      <c r="G17" s="74">
        <f t="shared" si="2"/>
        <v>1189</v>
      </c>
      <c r="H17" s="75">
        <f>SUM(H9:H16)</f>
        <v>0</v>
      </c>
      <c r="I17" s="75">
        <f>SUM(I9:I16)</f>
        <v>0</v>
      </c>
      <c r="J17" s="74">
        <f t="shared" si="3"/>
        <v>1189</v>
      </c>
      <c r="K17" s="75">
        <f>SUM(K9:K16)</f>
        <v>0</v>
      </c>
      <c r="L17" s="75">
        <f>SUM(L9:L16)</f>
        <v>46</v>
      </c>
      <c r="M17" s="75">
        <f>SUM(M9:M16)</f>
        <v>0</v>
      </c>
      <c r="N17" s="74">
        <f t="shared" si="4"/>
        <v>46</v>
      </c>
      <c r="O17" s="75">
        <f>SUM(O9:O16)</f>
        <v>0</v>
      </c>
      <c r="P17" s="75">
        <f>SUM(P9:P16)</f>
        <v>0</v>
      </c>
      <c r="Q17" s="74">
        <f t="shared" si="5"/>
        <v>46</v>
      </c>
      <c r="R17" s="74">
        <f t="shared" si="6"/>
        <v>1143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>
        <v>57</v>
      </c>
      <c r="E23" s="189"/>
      <c r="F23" s="189"/>
      <c r="G23" s="74">
        <f t="shared" si="2"/>
        <v>57</v>
      </c>
      <c r="H23" s="65"/>
      <c r="I23" s="65"/>
      <c r="J23" s="74">
        <f t="shared" si="3"/>
        <v>57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57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581</v>
      </c>
      <c r="D25" s="190">
        <f>SUM(D21:D24)</f>
        <v>57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57</v>
      </c>
      <c r="H25" s="66">
        <f t="shared" si="7"/>
        <v>0</v>
      </c>
      <c r="I25" s="66">
        <f t="shared" si="7"/>
        <v>0</v>
      </c>
      <c r="J25" s="67">
        <f t="shared" si="3"/>
        <v>57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57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850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851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1246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1246</v>
      </c>
      <c r="H40" s="438">
        <f t="shared" si="13"/>
        <v>0</v>
      </c>
      <c r="I40" s="438">
        <f t="shared" si="13"/>
        <v>0</v>
      </c>
      <c r="J40" s="438">
        <f t="shared" si="13"/>
        <v>1246</v>
      </c>
      <c r="K40" s="438">
        <f t="shared" si="13"/>
        <v>0</v>
      </c>
      <c r="L40" s="438">
        <f t="shared" si="13"/>
        <v>46</v>
      </c>
      <c r="M40" s="438">
        <f t="shared" si="13"/>
        <v>0</v>
      </c>
      <c r="N40" s="438">
        <f t="shared" si="13"/>
        <v>46</v>
      </c>
      <c r="O40" s="438">
        <f t="shared" si="13"/>
        <v>0</v>
      </c>
      <c r="P40" s="438">
        <f t="shared" si="13"/>
        <v>0</v>
      </c>
      <c r="Q40" s="438">
        <f t="shared" si="13"/>
        <v>46</v>
      </c>
      <c r="R40" s="438">
        <f t="shared" si="13"/>
        <v>1200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874</v>
      </c>
      <c r="C44" s="354"/>
      <c r="D44" s="355"/>
      <c r="E44" s="355"/>
      <c r="F44" s="355"/>
      <c r="G44" s="351"/>
      <c r="H44" s="356" t="s">
        <v>866</v>
      </c>
      <c r="I44" s="356"/>
      <c r="J44" s="356"/>
      <c r="K44" s="611"/>
      <c r="L44" s="611"/>
      <c r="M44" s="611"/>
      <c r="N44" s="611"/>
      <c r="O44" s="600" t="s">
        <v>867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6" workbookViewId="0">
      <selection activeCell="A110" sqref="A11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607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8" t="str">
        <f>'справка №1-БАЛАНС'!E3</f>
        <v>МИЛЕВИ ООД</v>
      </c>
      <c r="C3" s="619"/>
      <c r="D3" s="526" t="s">
        <v>2</v>
      </c>
      <c r="E3" s="107">
        <f>'справка №1-БАЛАНС'!H3</f>
        <v>125547918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01.01.2016-31.12.2016г.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16</v>
      </c>
      <c r="D28" s="108">
        <v>16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2</v>
      </c>
      <c r="D33" s="105">
        <f>SUM(D34:D37)</f>
        <v>2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>
        <v>2</v>
      </c>
      <c r="D34" s="108">
        <v>2</v>
      </c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/>
      <c r="D42" s="108"/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18</v>
      </c>
      <c r="D43" s="104">
        <f>D24+D28+D29+D31+D30+D32+D33+D38</f>
        <v>18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18</v>
      </c>
      <c r="D44" s="103">
        <f>D43+D21+D19+D9</f>
        <v>18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>
        <v>54</v>
      </c>
      <c r="D64" s="108"/>
      <c r="E64" s="119">
        <f t="shared" si="1"/>
        <v>54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54</v>
      </c>
      <c r="D66" s="103">
        <f>D52+D56+D61+D62+D63+D64</f>
        <v>0</v>
      </c>
      <c r="E66" s="119">
        <f t="shared" si="1"/>
        <v>54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122</v>
      </c>
      <c r="D85" s="104">
        <f>SUM(D86:D90)+D94</f>
        <v>12</v>
      </c>
      <c r="E85" s="104">
        <f>SUM(E86:E90)+E94</f>
        <v>110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6</v>
      </c>
      <c r="D87" s="108">
        <v>6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>
        <v>110</v>
      </c>
      <c r="D88" s="108"/>
      <c r="E88" s="119">
        <f t="shared" si="1"/>
        <v>110</v>
      </c>
      <c r="F88" s="108"/>
    </row>
    <row r="89" spans="1:16">
      <c r="A89" s="396" t="s">
        <v>748</v>
      </c>
      <c r="B89" s="397" t="s">
        <v>749</v>
      </c>
      <c r="C89" s="108">
        <v>3</v>
      </c>
      <c r="D89" s="108">
        <v>3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3</v>
      </c>
      <c r="D90" s="103">
        <f>SUM(D91:D93)</f>
        <v>3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3</v>
      </c>
      <c r="D92" s="108">
        <v>3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/>
      <c r="D93" s="108"/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/>
      <c r="D94" s="108"/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/>
      <c r="D95" s="108"/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122</v>
      </c>
      <c r="D96" s="104">
        <f>D85+D80+D75+D71+D95</f>
        <v>12</v>
      </c>
      <c r="E96" s="104">
        <f>E85+E80+E75+E71+E95</f>
        <v>110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176</v>
      </c>
      <c r="D97" s="104">
        <f>D96+D68+D66</f>
        <v>12</v>
      </c>
      <c r="E97" s="104">
        <f>E96+E68+E66</f>
        <v>164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778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869</v>
      </c>
      <c r="B109" s="613"/>
      <c r="C109" s="613" t="s">
        <v>861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860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31" sqref="A31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0" t="str">
        <f>'справка №1-БАЛАНС'!E3</f>
        <v>МИЛЕВИ 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125547918</v>
      </c>
    </row>
    <row r="5" spans="1:9" ht="15">
      <c r="A5" s="501" t="s">
        <v>5</v>
      </c>
      <c r="B5" s="621" t="str">
        <f>'справка №1-БАЛАНС'!E5</f>
        <v>01.01.2016-31.12.2016г.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782</v>
      </c>
    </row>
    <row r="7" spans="1:9" s="520" customFormat="1">
      <c r="A7" s="140" t="s">
        <v>463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792</v>
      </c>
      <c r="B12" s="90" t="s">
        <v>793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796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800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801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803</v>
      </c>
      <c r="B20" s="90" t="s">
        <v>804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807</v>
      </c>
      <c r="B22" s="90" t="s">
        <v>808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815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869</v>
      </c>
      <c r="B30" s="623"/>
      <c r="C30" s="623"/>
      <c r="D30" s="459" t="s">
        <v>817</v>
      </c>
      <c r="E30" s="622" t="s">
        <v>863</v>
      </c>
      <c r="F30" s="622"/>
      <c r="G30" s="622"/>
      <c r="H30" s="420" t="s">
        <v>779</v>
      </c>
      <c r="I30" s="622" t="s">
        <v>865</v>
      </c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abSelected="1" topLeftCell="A115" workbookViewId="0">
      <selection activeCell="A152" sqref="A152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7" t="str">
        <f>'справка №1-БАЛАНС'!E3</f>
        <v>МИЛЕВИ ООД</v>
      </c>
      <c r="C5" s="627"/>
      <c r="D5" s="627"/>
      <c r="E5" s="570" t="s">
        <v>2</v>
      </c>
      <c r="F5" s="451">
        <f>'справка №1-БАЛАНС'!H3</f>
        <v>125547918</v>
      </c>
    </row>
    <row r="6" spans="1:15" ht="15" customHeight="1">
      <c r="A6" s="27" t="s">
        <v>820</v>
      </c>
      <c r="B6" s="628" t="str">
        <f>'справка №1-БАЛАНС'!E5</f>
        <v>01.01.2016-31.12.2016г.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828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829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830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842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875</v>
      </c>
      <c r="B151" s="453"/>
      <c r="C151" s="629" t="s">
        <v>861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860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Лист1</vt:lpstr>
      <vt:lpstr>_1_0011</vt:lpstr>
      <vt:lpstr>'справка №4-ОСК'!Област_печат</vt:lpstr>
      <vt:lpstr>'справка №8'!Област_печат</vt:lpstr>
      <vt:lpstr>'справка №1-БАЛАНС'!Печат_заглавия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Own</cp:lastModifiedBy>
  <cp:lastPrinted>2004-04-16T15:23:12Z</cp:lastPrinted>
  <dcterms:created xsi:type="dcterms:W3CDTF">2000-06-29T12:02:40Z</dcterms:created>
  <dcterms:modified xsi:type="dcterms:W3CDTF">2017-01-26T13:18:46Z</dcterms:modified>
</cp:coreProperties>
</file>