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H33" i="1" s="1"/>
  <c r="G27" i="1"/>
  <c r="G33" i="1" s="1"/>
  <c r="H21" i="1"/>
  <c r="H25" i="1" s="1"/>
  <c r="G21" i="1"/>
  <c r="H17" i="1"/>
  <c r="G17" i="1"/>
  <c r="C39" i="1"/>
  <c r="C45" i="1" s="1"/>
  <c r="C34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21" i="4"/>
  <c r="F24" i="4"/>
  <c r="G11" i="4"/>
  <c r="G12" i="4"/>
  <c r="G15" i="4"/>
  <c r="G17" i="4"/>
  <c r="L17" i="4" s="1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7" i="4"/>
  <c r="J21" i="4"/>
  <c r="J24" i="4"/>
  <c r="J16" i="4"/>
  <c r="L16" i="4" s="1"/>
  <c r="K17" i="4"/>
  <c r="K21" i="4"/>
  <c r="K24" i="4"/>
  <c r="K12" i="4"/>
  <c r="K15" i="4" s="1"/>
  <c r="K29" i="4" s="1"/>
  <c r="K32" i="4" s="1"/>
  <c r="C11" i="4"/>
  <c r="C12" i="4"/>
  <c r="C15" i="4" s="1"/>
  <c r="C17" i="4"/>
  <c r="C21" i="4"/>
  <c r="L21" i="4" s="1"/>
  <c r="C24" i="4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G32" i="5" s="1"/>
  <c r="J32" i="5" s="1"/>
  <c r="R32" i="5" s="1"/>
  <c r="E17" i="5"/>
  <c r="E25" i="5"/>
  <c r="E27" i="5"/>
  <c r="E32" i="5"/>
  <c r="E38" i="5" s="1"/>
  <c r="E40" i="5" s="1"/>
  <c r="F17" i="5"/>
  <c r="F25" i="5"/>
  <c r="F27" i="5"/>
  <c r="F32" i="5"/>
  <c r="G18" i="5"/>
  <c r="G19" i="5"/>
  <c r="J19" i="5" s="1"/>
  <c r="G25" i="5"/>
  <c r="H17" i="5"/>
  <c r="H25" i="5"/>
  <c r="H27" i="5"/>
  <c r="H38" i="5" s="1"/>
  <c r="H32" i="5"/>
  <c r="I17" i="5"/>
  <c r="I25" i="5"/>
  <c r="I27" i="5"/>
  <c r="I32" i="5"/>
  <c r="J18" i="5"/>
  <c r="R18" i="5" s="1"/>
  <c r="J25" i="5"/>
  <c r="K17" i="5"/>
  <c r="K25" i="5"/>
  <c r="N25" i="5" s="1"/>
  <c r="Q25" i="5" s="1"/>
  <c r="R25" i="5" s="1"/>
  <c r="K27" i="5"/>
  <c r="K32" i="5"/>
  <c r="K38" i="5" s="1"/>
  <c r="L17" i="5"/>
  <c r="L25" i="5"/>
  <c r="L27" i="5"/>
  <c r="L32" i="5"/>
  <c r="M17" i="5"/>
  <c r="N17" i="5" s="1"/>
  <c r="M25" i="5"/>
  <c r="M27" i="5"/>
  <c r="M32" i="5"/>
  <c r="M38" i="5" s="1"/>
  <c r="N18" i="5"/>
  <c r="N19" i="5"/>
  <c r="Q19" i="5" s="1"/>
  <c r="O17" i="5"/>
  <c r="O25" i="5"/>
  <c r="O27" i="5"/>
  <c r="O32" i="5"/>
  <c r="P17" i="5"/>
  <c r="P25" i="5"/>
  <c r="P27" i="5"/>
  <c r="P38" i="5" s="1"/>
  <c r="P40" i="5" s="1"/>
  <c r="P32" i="5"/>
  <c r="Q18" i="5"/>
  <c r="N28" i="5"/>
  <c r="Q28" i="5"/>
  <c r="G28" i="5"/>
  <c r="J28" i="5"/>
  <c r="N29" i="5"/>
  <c r="Q29" i="5" s="1"/>
  <c r="G29" i="5"/>
  <c r="J29" i="5" s="1"/>
  <c r="R29" i="5" s="1"/>
  <c r="N30" i="5"/>
  <c r="Q30" i="5"/>
  <c r="G30" i="5"/>
  <c r="J30" i="5"/>
  <c r="R30" i="5" s="1"/>
  <c r="N31" i="5"/>
  <c r="Q31" i="5" s="1"/>
  <c r="G31" i="5"/>
  <c r="J31" i="5" s="1"/>
  <c r="R31" i="5" s="1"/>
  <c r="N32" i="5"/>
  <c r="Q32" i="5"/>
  <c r="N33" i="5"/>
  <c r="Q33" i="5" s="1"/>
  <c r="G33" i="5"/>
  <c r="J33" i="5" s="1"/>
  <c r="R33" i="5" s="1"/>
  <c r="N34" i="5"/>
  <c r="Q34" i="5"/>
  <c r="G34" i="5"/>
  <c r="J34" i="5"/>
  <c r="R34" i="5" s="1"/>
  <c r="N35" i="5"/>
  <c r="Q35" i="5" s="1"/>
  <c r="G35" i="5"/>
  <c r="J35" i="5" s="1"/>
  <c r="R35" i="5" s="1"/>
  <c r="N36" i="5"/>
  <c r="Q36" i="5"/>
  <c r="G36" i="5"/>
  <c r="J36" i="5"/>
  <c r="N37" i="5"/>
  <c r="Q37" i="5" s="1"/>
  <c r="G37" i="5"/>
  <c r="J37" i="5" s="1"/>
  <c r="R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N22" i="5"/>
  <c r="N23" i="5"/>
  <c r="N24" i="5"/>
  <c r="N27" i="5"/>
  <c r="N16" i="5"/>
  <c r="Q16" i="5"/>
  <c r="Q20" i="5"/>
  <c r="R20" i="5" s="1"/>
  <c r="Q21" i="5"/>
  <c r="Q22" i="5"/>
  <c r="Q23" i="5"/>
  <c r="Q24" i="5"/>
  <c r="R24" i="5" s="1"/>
  <c r="Q27" i="5"/>
  <c r="G10" i="5"/>
  <c r="G11" i="5"/>
  <c r="G12" i="5"/>
  <c r="J12" i="5" s="1"/>
  <c r="G13" i="5"/>
  <c r="J13" i="5" s="1"/>
  <c r="G14" i="5"/>
  <c r="G9" i="5"/>
  <c r="J9" i="5" s="1"/>
  <c r="J10" i="5"/>
  <c r="N10" i="5"/>
  <c r="Q10" i="5" s="1"/>
  <c r="J11" i="5"/>
  <c r="N11" i="5"/>
  <c r="Q11" i="5" s="1"/>
  <c r="N12" i="5"/>
  <c r="Q12" i="5" s="1"/>
  <c r="N13" i="5"/>
  <c r="Q13" i="5" s="1"/>
  <c r="J14" i="5"/>
  <c r="N14" i="5"/>
  <c r="Q14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E56" i="6" s="1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I26" i="7" s="1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48" i="8" s="1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114" i="8" s="1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61" i="8" s="1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27" i="8" s="1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49" i="8" s="1"/>
  <c r="F131" i="8"/>
  <c r="E131" i="8"/>
  <c r="E114" i="8"/>
  <c r="F97" i="8"/>
  <c r="E97" i="8"/>
  <c r="C27" i="8"/>
  <c r="C78" i="8"/>
  <c r="C79" i="8" s="1"/>
  <c r="C61" i="8"/>
  <c r="C44" i="8"/>
  <c r="E78" i="8"/>
  <c r="E79" i="8" s="1"/>
  <c r="E61" i="8"/>
  <c r="E44" i="8"/>
  <c r="E27" i="8"/>
  <c r="E38" i="6" l="1"/>
  <c r="F149" i="8"/>
  <c r="R13" i="5"/>
  <c r="R9" i="5"/>
  <c r="R19" i="5"/>
  <c r="I17" i="7"/>
  <c r="D43" i="6"/>
  <c r="D44" i="6" s="1"/>
  <c r="C43" i="6"/>
  <c r="C44" i="6" s="1"/>
  <c r="E16" i="6"/>
  <c r="C96" i="6"/>
  <c r="C66" i="6"/>
  <c r="R10" i="5"/>
  <c r="I38" i="5"/>
  <c r="I40" i="5" s="1"/>
  <c r="F38" i="5"/>
  <c r="F40" i="5" s="1"/>
  <c r="D38" i="5"/>
  <c r="J15" i="4"/>
  <c r="J29" i="4" s="1"/>
  <c r="J32" i="4" s="1"/>
  <c r="H29" i="4"/>
  <c r="H32" i="4" s="1"/>
  <c r="G29" i="4"/>
  <c r="G32" i="4" s="1"/>
  <c r="D29" i="4"/>
  <c r="D32" i="4" s="1"/>
  <c r="D43" i="3"/>
  <c r="D45" i="3" s="1"/>
  <c r="C149" i="8"/>
  <c r="D96" i="6"/>
  <c r="R14" i="5"/>
  <c r="R27" i="5"/>
  <c r="R21" i="5"/>
  <c r="R36" i="5"/>
  <c r="R28" i="5"/>
  <c r="M40" i="5"/>
  <c r="H40" i="5"/>
  <c r="L12" i="4"/>
  <c r="I15" i="4"/>
  <c r="I29" i="4" s="1"/>
  <c r="I32" i="4" s="1"/>
  <c r="D55" i="1"/>
  <c r="R39" i="5"/>
  <c r="F44" i="8"/>
  <c r="F79" i="8" s="1"/>
  <c r="E24" i="6"/>
  <c r="D66" i="6"/>
  <c r="F96" i="6"/>
  <c r="F97" i="6" s="1"/>
  <c r="R22" i="5"/>
  <c r="O38" i="5"/>
  <c r="O40" i="5" s="1"/>
  <c r="L38" i="5"/>
  <c r="L40" i="5" s="1"/>
  <c r="G17" i="5"/>
  <c r="F15" i="4"/>
  <c r="F29" i="4" s="1"/>
  <c r="F32" i="4" s="1"/>
  <c r="E15" i="4"/>
  <c r="E29" i="4" s="1"/>
  <c r="E32" i="4" s="1"/>
  <c r="C43" i="3"/>
  <c r="C45" i="3" s="1"/>
  <c r="R12" i="5"/>
  <c r="R11" i="5"/>
  <c r="J17" i="5"/>
  <c r="E90" i="6"/>
  <c r="E85" i="6" s="1"/>
  <c r="E96" i="6" s="1"/>
  <c r="E52" i="6"/>
  <c r="E11" i="6"/>
  <c r="L11" i="4"/>
  <c r="G36" i="1"/>
  <c r="G94" i="1" s="1"/>
  <c r="C29" i="4"/>
  <c r="H36" i="1"/>
  <c r="H94" i="1" s="1"/>
  <c r="C93" i="1"/>
  <c r="H28" i="2"/>
  <c r="H33" i="2" s="1"/>
  <c r="G28" i="2"/>
  <c r="G33" i="2" s="1"/>
  <c r="C28" i="2"/>
  <c r="D28" i="2"/>
  <c r="C55" i="1"/>
  <c r="Q17" i="5"/>
  <c r="L15" i="4"/>
  <c r="K40" i="5"/>
  <c r="N38" i="5"/>
  <c r="N40" i="5" s="1"/>
  <c r="D40" i="5"/>
  <c r="G38" i="5"/>
  <c r="R15" i="5"/>
  <c r="C32" i="4"/>
  <c r="M29" i="4"/>
  <c r="M32" i="4" s="1"/>
  <c r="D93" i="1"/>
  <c r="C97" i="6" l="1"/>
  <c r="D30" i="2"/>
  <c r="E43" i="6"/>
  <c r="D94" i="1"/>
  <c r="D97" i="6"/>
  <c r="E66" i="6"/>
  <c r="E97" i="6" s="1"/>
  <c r="J38" i="5"/>
  <c r="Q40" i="5"/>
  <c r="E19" i="6"/>
  <c r="Q38" i="5"/>
  <c r="L29" i="4"/>
  <c r="C94" i="1"/>
  <c r="G30" i="2"/>
  <c r="D33" i="2"/>
  <c r="D39" i="2" s="1"/>
  <c r="H30" i="2"/>
  <c r="C30" i="2"/>
  <c r="C33" i="2"/>
  <c r="G34" i="2" s="1"/>
  <c r="J40" i="5"/>
  <c r="L32" i="4"/>
  <c r="G40" i="5"/>
  <c r="R17" i="5"/>
  <c r="E44" i="6" l="1"/>
  <c r="C34" i="2"/>
  <c r="G39" i="2" s="1"/>
  <c r="R38" i="5"/>
  <c r="R40" i="5" s="1"/>
  <c r="D34" i="2"/>
  <c r="H34" i="2"/>
  <c r="H39" i="2" s="1"/>
  <c r="C39" i="2"/>
  <c r="C42" i="2" s="1"/>
  <c r="D42" i="2"/>
  <c r="C41" i="2" l="1"/>
  <c r="G42" i="2"/>
  <c r="G41" i="2"/>
  <c r="H42" i="2"/>
  <c r="D41" i="2"/>
  <c r="H41" i="2"/>
</calcChain>
</file>

<file path=xl/sharedStrings.xml><?xml version="1.0" encoding="utf-8"?>
<sst xmlns="http://schemas.openxmlformats.org/spreadsheetml/2006/main" count="1066" uniqueCount="876">
  <si>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</si>
  <si>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</si>
  <si>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</si>
  <si>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</si>
  <si>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</si>
  <si>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</si>
  <si>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</si>
  <si>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</si>
  <si>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</si>
  <si>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</si>
  <si>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</si>
  <si>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</si>
  <si>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</si>
  <si>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</si>
  <si>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</si>
  <si>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</si>
  <si>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</si>
  <si>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</si>
  <si>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</si>
  <si>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</si>
  <si>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</si>
  <si>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</si>
  <si>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</si>
  <si>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</si>
  <si>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</si>
  <si>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</si>
  <si>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</si>
  <si>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</si>
  <si>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</si>
  <si>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</si>
  <si>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</si>
  <si>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</si>
  <si>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</si>
  <si>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</si>
  <si>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</si>
  <si>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</si>
  <si>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</si>
  <si>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</si>
  <si>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</si>
  <si>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</si>
  <si>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</si>
  <si>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</si>
  <si>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</si>
  <si>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</si>
  <si>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</si>
  <si>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</si>
  <si>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</si>
  <si>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</si>
  <si>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</si>
  <si>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</si>
  <si>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</si>
  <si>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</si>
  <si>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</si>
  <si>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</si>
  <si>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</si>
  <si>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</si>
  <si>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</si>
  <si>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</si>
  <si>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</si>
  <si>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</si>
  <si>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</si>
  <si>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</si>
  <si>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</si>
  <si>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</si>
  <si>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</si>
  <si>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</si>
  <si>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</si>
  <si>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</si>
  <si>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</si>
  <si>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</si>
  <si>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</si>
  <si>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</si>
  <si>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</si>
  <si>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</si>
  <si>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</si>
  <si>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</si>
  <si>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</si>
  <si>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</si>
  <si>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</si>
  <si>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</si>
  <si>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</si>
  <si>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</si>
  <si>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</si>
  <si>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</si>
  <si>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</si>
  <si>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</si>
  <si>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</si>
  <si>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</si>
  <si>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</si>
  <si>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</si>
  <si>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</si>
  <si>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</si>
  <si>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</si>
  <si>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</si>
  <si>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</si>
  <si>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</si>
  <si>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</si>
  <si>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</si>
  <si>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</si>
  <si>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</si>
  <si>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</si>
  <si>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</si>
  <si>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</si>
  <si>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</si>
  <si>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</si>
  <si>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</si>
  <si>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</si>
  <si>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</si>
  <si>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</si>
  <si>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</si>
  <si>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</si>
  <si>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</si>
  <si>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</si>
  <si>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</si>
  <si>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</si>
  <si>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</si>
  <si>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</si>
  <si>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</si>
  <si>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</si>
  <si>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</si>
  <si>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</si>
  <si>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</si>
  <si>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</si>
  <si>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</si>
  <si>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</si>
  <si>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</si>
  <si>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</si>
  <si>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</si>
  <si>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</si>
  <si>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</si>
  <si>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</si>
  <si>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</si>
  <si>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</si>
  <si>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</si>
  <si>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</si>
  <si>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</si>
  <si>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</si>
  <si>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</si>
  <si>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</si>
  <si>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</si>
  <si>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</si>
  <si>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</si>
  <si>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</si>
  <si>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</si>
  <si>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</si>
  <si>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</si>
  <si>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</si>
  <si>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</si>
  <si>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</si>
  <si>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</si>
  <si>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</si>
  <si>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</si>
  <si>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</si>
  <si>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</si>
  <si>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</si>
  <si>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</si>
  <si>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</si>
  <si>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</si>
  <si>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</si>
  <si>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</si>
  <si>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</si>
  <si>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</si>
  <si>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</si>
  <si>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</si>
  <si>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</si>
  <si>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</si>
  <si>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</si>
  <si>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</si>
  <si>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</si>
  <si>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</si>
  <si>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</si>
  <si>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</si>
  <si>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</si>
  <si>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</si>
  <si>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</si>
  <si>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</si>
  <si>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</si>
  <si>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</si>
  <si>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</si>
  <si>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</si>
  <si>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</si>
  <si>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</si>
  <si>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</si>
  <si>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</si>
  <si>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</si>
  <si>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</si>
  <si>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</si>
  <si>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</si>
  <si>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</si>
  <si>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</si>
  <si>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</si>
  <si>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</si>
  <si>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</si>
  <si>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</si>
  <si>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</si>
  <si>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</si>
  <si>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</si>
  <si>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</si>
  <si>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</si>
  <si>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</si>
  <si>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</si>
  <si>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</si>
  <si>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</si>
  <si>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</si>
  <si>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</si>
  <si>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</si>
  <si>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</si>
  <si>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</si>
  <si>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</si>
  <si>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</si>
  <si>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</si>
  <si>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</si>
  <si>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</si>
  <si>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</si>
  <si>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</si>
  <si>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</si>
  <si>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</si>
  <si>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</si>
  <si>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</si>
  <si>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</si>
  <si>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</si>
  <si>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</si>
  <si>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</si>
  <si>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</si>
  <si>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</si>
  <si>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</si>
  <si>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</si>
  <si>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</si>
  <si>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</si>
  <si>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</si>
  <si>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</si>
  <si>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</si>
  <si>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</si>
  <si>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</si>
  <si>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</si>
  <si>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</si>
  <si>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</si>
  <si>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</si>
  <si>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</si>
  <si>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</si>
  <si>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</si>
  <si>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</si>
  <si>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</si>
  <si>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</si>
  <si>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</si>
  <si>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</si>
  <si>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</si>
  <si>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</si>
  <si>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</si>
  <si>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</si>
  <si>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</si>
  <si>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</si>
  <si>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</si>
  <si>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</si>
  <si>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</si>
  <si>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</si>
  <si>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</si>
  <si>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</si>
  <si>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</si>
  <si>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</si>
  <si>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</si>
  <si>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</si>
  <si>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</si>
  <si>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</si>
  <si>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</si>
  <si>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</si>
  <si>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</si>
  <si>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</si>
  <si>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</si>
  <si>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</si>
  <si>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</si>
  <si>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</si>
  <si>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</si>
  <si>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</si>
  <si>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</si>
  <si>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</si>
  <si>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</si>
  <si>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</si>
  <si>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</si>
  <si>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</si>
  <si>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</si>
  <si>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</si>
  <si>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</si>
  <si>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</si>
  <si>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</si>
  <si>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</si>
  <si>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</si>
  <si>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</si>
  <si>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</si>
  <si>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</si>
  <si>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</si>
  <si>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</si>
  <si>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</si>
  <si>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</si>
  <si>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</si>
  <si>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</si>
  <si>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</si>
  <si>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</si>
  <si>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</si>
  <si>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</si>
  <si>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</si>
  <si>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</si>
  <si>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</si>
  <si>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</si>
  <si>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</si>
  <si>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</si>
  <si>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</si>
  <si>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</si>
  <si>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</si>
  <si>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</si>
  <si>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</si>
  <si>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</si>
  <si>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</si>
  <si>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</si>
  <si>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</si>
  <si>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</si>
  <si>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</si>
  <si>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</si>
  <si>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</si>
  <si>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</si>
  <si>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</si>
  <si>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</si>
  <si>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</si>
  <si>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</si>
  <si>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</si>
  <si>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</si>
  <si>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</si>
  <si>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</si>
  <si>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</si>
  <si>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</si>
  <si>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</si>
  <si>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</si>
  <si>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</si>
  <si>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</si>
  <si>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</si>
  <si>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</si>
  <si>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</si>
  <si>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</si>
  <si>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</si>
  <si>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</si>
  <si>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</si>
  <si>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</si>
  <si>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</si>
  <si>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</si>
  <si>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</si>
  <si>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</si>
  <si>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</si>
  <si>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</si>
  <si>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</si>
  <si>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</si>
  <si>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</si>
  <si>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</si>
  <si>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</si>
  <si>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</si>
  <si>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</si>
  <si>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</si>
  <si>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</si>
  <si>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</si>
  <si>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</si>
  <si>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</si>
  <si>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</si>
  <si>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</si>
  <si>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</si>
  <si>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</si>
  <si>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</si>
  <si>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</si>
  <si>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</si>
  <si>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</si>
  <si>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</si>
  <si>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</si>
  <si>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</si>
  <si>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</si>
  <si>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</si>
  <si>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</si>
  <si>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</si>
  <si>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</si>
  <si>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</si>
  <si>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</si>
  <si>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</si>
  <si>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</si>
  <si>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</si>
  <si>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</si>
  <si>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</si>
  <si>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</si>
  <si>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</si>
  <si>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</si>
  <si>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</si>
  <si>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</si>
  <si>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</si>
  <si>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</si>
  <si>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</si>
  <si>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</si>
  <si>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</si>
  <si>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</si>
  <si>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</si>
  <si>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</si>
  <si>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</si>
  <si>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</si>
  <si>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</si>
  <si>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</si>
  <si>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</si>
  <si>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</si>
  <si>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</si>
  <si>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</si>
  <si>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</si>
  <si>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</si>
  <si>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</si>
  <si>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</si>
  <si>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</si>
  <si>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</si>
  <si>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</si>
  <si>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</si>
  <si>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</si>
  <si>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</si>
  <si>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</si>
  <si>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</si>
  <si>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</si>
  <si>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</si>
  <si>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</si>
  <si>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</si>
  <si>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</si>
  <si>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</si>
  <si>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</si>
  <si>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</si>
  <si>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</si>
  <si>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</si>
  <si>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</si>
  <si>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</si>
  <si>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</si>
  <si>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</si>
  <si>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</si>
  <si>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</si>
  <si>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</si>
  <si>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</si>
  <si>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</si>
  <si>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</si>
  <si>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</si>
  <si>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</si>
  <si>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</si>
  <si>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</si>
  <si>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</si>
  <si>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</si>
  <si>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</si>
  <si>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</si>
  <si>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</si>
  <si>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</si>
  <si>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</si>
  <si>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</si>
  <si>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</si>
  <si>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</si>
  <si>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</si>
  <si>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</si>
  <si>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</si>
  <si>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</si>
  <si>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</si>
  <si>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</si>
  <si>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</si>
  <si>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</si>
  <si>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</si>
  <si>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</si>
  <si>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</si>
  <si>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</si>
  <si>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</si>
  <si>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</si>
  <si>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</si>
  <si>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</si>
  <si>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</si>
  <si>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</si>
  <si>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</si>
  <si>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</si>
  <si>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</si>
  <si>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</si>
  <si>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</si>
  <si>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</si>
  <si>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</si>
  <si>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</si>
  <si>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</si>
  <si>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</si>
  <si>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</si>
  <si>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</si>
  <si>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</si>
  <si>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</si>
  <si>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</si>
  <si>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</si>
  <si>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</si>
  <si>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</si>
  <si>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</si>
  <si>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</si>
  <si>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</si>
  <si>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</si>
  <si>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</si>
  <si>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</si>
  <si>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</si>
  <si>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</si>
  <si>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</si>
  <si>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</si>
  <si>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</si>
  <si>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</si>
  <si>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</si>
  <si>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</si>
  <si>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</si>
  <si>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</si>
  <si>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</si>
  <si>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</si>
  <si>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</si>
  <si>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</si>
  <si>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</si>
  <si>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</si>
  <si>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</si>
  <si>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</si>
  <si>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</si>
  <si>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</si>
  <si>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</si>
  <si>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</si>
  <si>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</si>
  <si>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</si>
  <si>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</si>
  <si>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</si>
  <si>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</si>
  <si>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</si>
  <si>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</si>
  <si>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</si>
  <si>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</si>
  <si>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</si>
  <si>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</si>
  <si>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</si>
  <si>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</si>
  <si>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</si>
  <si>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</si>
  <si>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</si>
  <si>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</si>
  <si>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</si>
  <si>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</si>
  <si>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</si>
  <si>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</si>
  <si>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</si>
  <si>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</si>
  <si>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</si>
  <si>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</si>
  <si>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</si>
  <si>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</si>
  <si>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</si>
  <si>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</si>
  <si>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</si>
  <si>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</si>
  <si>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</si>
  <si>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</si>
  <si>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</si>
  <si>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</si>
  <si>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</si>
  <si>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</si>
  <si>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</si>
  <si>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</si>
  <si>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</si>
  <si>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</si>
  <si>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</si>
  <si>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</si>
  <si>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</si>
  <si>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</si>
  <si>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</si>
  <si>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</si>
  <si>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</si>
  <si>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</si>
  <si>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</si>
  <si>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</si>
  <si>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</si>
  <si>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</si>
  <si>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</si>
  <si>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</si>
  <si>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</si>
  <si>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</si>
  <si>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</si>
  <si>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</si>
  <si>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</si>
  <si>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</si>
  <si>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</si>
  <si>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</si>
  <si>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</si>
  <si>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</si>
  <si>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</si>
  <si>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</si>
  <si>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</si>
  <si>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</si>
  <si>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</si>
  <si>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</si>
  <si>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</si>
  <si>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</si>
  <si>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</si>
  <si>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</si>
  <si>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</si>
  <si>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</si>
  <si>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</si>
  <si>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</si>
  <si>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</si>
  <si>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</si>
  <si>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</si>
  <si>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</si>
  <si>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</si>
  <si>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</si>
  <si>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</si>
  <si>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</si>
  <si>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</si>
  <si>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</si>
  <si>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</si>
  <si>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</si>
  <si>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</si>
  <si>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</si>
  <si>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</si>
  <si>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</si>
  <si>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</si>
  <si>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</si>
  <si>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</si>
  <si>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</si>
  <si>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</si>
  <si>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</si>
  <si>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</si>
  <si>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</si>
  <si>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</si>
  <si>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</si>
  <si>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</si>
  <si>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</si>
  <si>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</si>
  <si>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</si>
  <si>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</si>
  <si>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</si>
  <si>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</si>
  <si>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</si>
  <si>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</si>
  <si>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</si>
  <si>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</si>
  <si>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</si>
  <si>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</si>
  <si>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</si>
  <si>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</si>
  <si>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</si>
  <si>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</si>
  <si>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</si>
  <si>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</si>
  <si>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</si>
  <si>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</si>
  <si>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</si>
  <si>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</si>
  <si>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</si>
  <si>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</si>
  <si>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</si>
  <si>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</si>
  <si>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</si>
  <si>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</si>
  <si>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</si>
  <si>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</si>
  <si>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</si>
  <si>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</si>
  <si>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</si>
  <si>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</si>
  <si>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</si>
  <si>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</si>
  <si>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</si>
  <si>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</si>
  <si>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</si>
  <si>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</si>
  <si>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</si>
  <si>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</si>
  <si>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</si>
  <si>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</si>
  <si>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</si>
  <si>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</si>
  <si>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</si>
  <si>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</si>
  <si>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</si>
  <si>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</si>
  <si>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</si>
  <si>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</si>
  <si>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</si>
  <si>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</si>
  <si>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</si>
  <si>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</si>
  <si>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</si>
  <si>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</si>
  <si>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</si>
  <si>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</si>
  <si>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</si>
  <si>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</si>
  <si>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</si>
  <si>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</si>
  <si>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</si>
  <si>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</si>
  <si>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</si>
  <si>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</si>
  <si>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</si>
  <si>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</si>
  <si>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</si>
  <si>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</si>
  <si>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</si>
  <si>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</si>
  <si>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</si>
  <si>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</si>
  <si>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</si>
  <si>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</si>
  <si>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</si>
  <si>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</si>
  <si>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</si>
  <si>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</si>
  <si>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</si>
  <si>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</si>
  <si>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</si>
  <si>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</si>
  <si>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</si>
  <si>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</si>
  <si>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</si>
  <si>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</si>
  <si>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</si>
  <si>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</si>
  <si>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</si>
  <si>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</si>
  <si>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</si>
  <si>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</si>
  <si>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</si>
  <si>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</si>
  <si>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</si>
  <si>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</si>
  <si>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</si>
  <si>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</si>
  <si>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</si>
  <si>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</si>
  <si>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</si>
  <si>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</si>
  <si>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</si>
  <si>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</si>
  <si>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</si>
  <si>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</si>
  <si>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</si>
  <si>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</si>
  <si>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</si>
  <si>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</si>
  <si>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</si>
  <si>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</si>
  <si>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</si>
  <si>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</si>
  <si>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</si>
  <si>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</si>
  <si>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</si>
  <si>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</si>
  <si>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</si>
  <si>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</si>
  <si>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</si>
  <si>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</si>
  <si>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</si>
  <si>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</si>
  <si>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</si>
  <si>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</si>
  <si>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</si>
  <si>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</si>
  <si>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</si>
  <si>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</si>
  <si>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</si>
  <si>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</si>
  <si>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</si>
  <si>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</si>
  <si>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</si>
  <si>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</si>
  <si>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</si>
  <si>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</si>
  <si>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</si>
  <si>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</si>
  <si>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</si>
  <si>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</si>
  <si>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</si>
  <si>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</si>
  <si>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</si>
  <si>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</si>
  <si>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</si>
  <si>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</si>
  <si>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</si>
  <si>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</si>
  <si>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</si>
  <si>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</si>
  <si>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</si>
  <si>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</si>
  <si>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</si>
  <si>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</si>
  <si>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</si>
  <si>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</si>
  <si>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</si>
  <si>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</si>
  <si>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</si>
  <si>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</si>
  <si>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</si>
  <si>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</si>
  <si>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</si>
  <si>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</si>
  <si>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</si>
  <si>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</si>
  <si>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</si>
  <si>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</si>
  <si>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</si>
  <si>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</si>
  <si>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</si>
  <si>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</si>
  <si>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</si>
  <si>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</si>
  <si>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</si>
  <si>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</si>
  <si>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</si>
  <si>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</si>
  <si>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</si>
  <si>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</si>
  <si>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</si>
  <si>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</si>
  <si>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</si>
  <si>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</si>
  <si>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</si>
  <si>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</si>
  <si>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</si>
  <si>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</si>
  <si>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</si>
  <si>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</si>
  <si>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</si>
  <si>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</si>
  <si>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</si>
  <si>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</si>
  <si>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</si>
  <si>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</si>
  <si>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</si>
  <si>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</si>
  <si>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</si>
  <si>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</si>
  <si>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</si>
  <si>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</si>
  <si>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</si>
  <si>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</si>
  <si>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</si>
  <si>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</si>
  <si>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</si>
  <si>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</si>
  <si>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</si>
  <si>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</si>
  <si>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</si>
  <si>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</si>
  <si>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</si>
  <si>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</si>
  <si>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</si>
  <si>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</si>
  <si>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</si>
  <si>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</si>
  <si>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</si>
  <si>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</si>
  <si>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</si>
  <si>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</si>
  <si>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</si>
  <si>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</si>
  <si>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</si>
  <si>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</si>
  <si>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</si>
  <si>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</si>
  <si>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</si>
  <si>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</si>
  <si>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</si>
  <si>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</si>
  <si>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</si>
  <si>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</si>
  <si>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</si>
  <si>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</si>
  <si>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</si>
  <si>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НИК ЕНЕРРДЖИ ЕООД</t>
  </si>
  <si>
    <t>Съставител:Поля Костадинова</t>
  </si>
  <si>
    <t>Съставител: Поля Костадинова</t>
  </si>
  <si>
    <t>Ръководители: Ронгхуи Чжанг</t>
  </si>
  <si>
    <t xml:space="preserve"> Ръководители: Ронгхиу Чжанг</t>
  </si>
  <si>
    <t xml:space="preserve">Дата  на съставяне: 30.06.2016                                                                                                               </t>
  </si>
  <si>
    <t>Дата на съставяне:                                       30.06.2016</t>
  </si>
  <si>
    <t>Ронгхуи Чжанг</t>
  </si>
  <si>
    <t>Поля Костадинова</t>
  </si>
  <si>
    <t>Ръководители:</t>
  </si>
  <si>
    <t>Дата на съставяне: 30.06.2017</t>
  </si>
  <si>
    <t xml:space="preserve">Дата на съставяне:30.06.2017              </t>
  </si>
  <si>
    <t>Пинк Гуо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</si>
</sst>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d/m/yyyy&quot; &quot;&quot;г.&quot;;@"/>
    <numFmt numFmtId="167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5" fontId="14" fillId="0" borderId="0" applyFont="0" applyFill="0" applyBorder="0" applyAlignment="0" applyProtection="0"/>
  </cellStyleXfs>
  <cellXfs count="629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7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10" fillId="0" borderId="0" xfId="10" applyFont="1" applyProtection="1">
      <protection locked="0"/>
    </xf>
    <xf numFmtId="0" fontId="10" fillId="0" borderId="0" xfId="10" applyFont="1" applyAlignment="1" applyProtection="1">
      <alignment wrapText="1"/>
      <protection locked="0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9" fillId="0" borderId="0" xfId="8" applyFont="1" applyBorder="1" applyAlignment="1" applyProtection="1">
      <alignment horizontal="left" vertical="top" wrapText="1"/>
    </xf>
    <xf numFmtId="166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7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7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7" fontId="9" fillId="0" borderId="0" xfId="6" applyNumberFormat="1" applyFont="1" applyBorder="1" applyAlignment="1" applyProtection="1">
      <alignment horizontal="center" vertical="justify" wrapText="1"/>
    </xf>
    <xf numFmtId="167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7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7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4">
    <cellStyle name="Comma 2" xfId="13"/>
    <cellStyle name="Currency" xfId="1" builtinId="4"/>
    <cellStyle name="Euro" xfId="2"/>
    <cellStyle name="Normal" xfId="0" builtinId="0"/>
    <cellStyle name="Normal 2" xfId="12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84" workbookViewId="0">
      <selection sqref="A1:H102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8" t="s">
        <v>1</v>
      </c>
      <c r="B3" s="579"/>
      <c r="C3" s="579"/>
      <c r="D3" s="579"/>
      <c r="E3" s="461" t="s">
        <v>863</v>
      </c>
      <c r="F3" s="217" t="s">
        <v>2</v>
      </c>
      <c r="G3" s="172"/>
      <c r="H3" s="460">
        <v>117690496</v>
      </c>
    </row>
    <row r="4" spans="1:8" ht="15">
      <c r="A4" s="578" t="s">
        <v>3</v>
      </c>
      <c r="B4" s="582"/>
      <c r="C4" s="582"/>
      <c r="D4" s="582"/>
      <c r="E4" s="503" t="s">
        <v>159</v>
      </c>
      <c r="F4" s="580" t="s">
        <v>4</v>
      </c>
      <c r="G4" s="581"/>
      <c r="H4" s="460" t="s">
        <v>159</v>
      </c>
    </row>
    <row r="5" spans="1:8" ht="15">
      <c r="A5" s="578" t="s">
        <v>5</v>
      </c>
      <c r="B5" s="579"/>
      <c r="C5" s="579"/>
      <c r="D5" s="579"/>
      <c r="E5" s="504">
        <v>42916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17</v>
      </c>
      <c r="D11" s="151">
        <v>17</v>
      </c>
      <c r="E11" s="237" t="s">
        <v>22</v>
      </c>
      <c r="F11" s="242" t="s">
        <v>23</v>
      </c>
      <c r="G11" s="152">
        <v>1609</v>
      </c>
      <c r="H11" s="152">
        <v>1609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0</v>
      </c>
      <c r="D13" s="151">
        <v>2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3632</v>
      </c>
      <c r="D14" s="151">
        <v>3723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1609</v>
      </c>
      <c r="H17" s="154">
        <f>H11+H14+H15+H16</f>
        <v>1609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3649</v>
      </c>
      <c r="D19" s="155">
        <f>SUM(D11:D18)</f>
        <v>3742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>
        <v>0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-2869</v>
      </c>
      <c r="H27" s="154">
        <f>SUM(H28:H30)</f>
        <v>-2770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0</v>
      </c>
      <c r="H28" s="152">
        <v>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-2869</v>
      </c>
      <c r="H29" s="316">
        <v>-2770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-51</v>
      </c>
      <c r="H32" s="316">
        <v>-99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-2920</v>
      </c>
      <c r="H33" s="154">
        <f>H27+H31+H32</f>
        <v>-2869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-1311</v>
      </c>
      <c r="H36" s="154">
        <f>H25+H17+H33</f>
        <v>-1260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4389</v>
      </c>
      <c r="H43" s="152">
        <v>4384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53</v>
      </c>
      <c r="D47" s="151">
        <v>53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4389</v>
      </c>
      <c r="H49" s="154">
        <f>SUM(H43:H48)</f>
        <v>4384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>
        <v>0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53</v>
      </c>
      <c r="D51" s="155">
        <f>SUM(D47:D50)</f>
        <v>53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272</v>
      </c>
      <c r="D54" s="151">
        <v>272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3974</v>
      </c>
      <c r="D55" s="155">
        <f>D19+D20+D21+D27+D32+D45+D51+D53+D54</f>
        <v>4067</v>
      </c>
      <c r="E55" s="237" t="s">
        <v>172</v>
      </c>
      <c r="F55" s="261" t="s">
        <v>173</v>
      </c>
      <c r="G55" s="154">
        <f>G49+G51+G52+G53+G54</f>
        <v>4389</v>
      </c>
      <c r="H55" s="154">
        <f>H49+H51+H52+H53+H54</f>
        <v>4384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1018</v>
      </c>
      <c r="H61" s="154">
        <f>SUM(H62:H68)</f>
        <v>958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998</v>
      </c>
      <c r="H62" s="152">
        <v>941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11</v>
      </c>
      <c r="H64" s="152">
        <v>17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68</v>
      </c>
      <c r="D68" s="151">
        <v>6</v>
      </c>
      <c r="E68" s="237" t="s">
        <v>213</v>
      </c>
      <c r="F68" s="242" t="s">
        <v>214</v>
      </c>
      <c r="G68" s="152">
        <v>9</v>
      </c>
      <c r="H68" s="152"/>
    </row>
    <row r="69" spans="1:18" ht="15">
      <c r="A69" s="235" t="s">
        <v>215</v>
      </c>
      <c r="B69" s="241" t="s">
        <v>216</v>
      </c>
      <c r="C69" s="151">
        <v>2</v>
      </c>
      <c r="D69" s="151">
        <v>5</v>
      </c>
      <c r="E69" s="251" t="s">
        <v>78</v>
      </c>
      <c r="F69" s="242" t="s">
        <v>217</v>
      </c>
      <c r="G69" s="152">
        <v>70</v>
      </c>
      <c r="H69" s="152">
        <v>276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1088</v>
      </c>
      <c r="H71" s="161">
        <f>H59+H60+H61+H69+H70</f>
        <v>1234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>
        <v>2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70</v>
      </c>
      <c r="D75" s="155">
        <f>SUM(D67:D74)</f>
        <v>13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1088</v>
      </c>
      <c r="H79" s="162">
        <f>H71+H74+H75+H76</f>
        <v>1234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6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116</v>
      </c>
      <c r="D88" s="151">
        <v>260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122</v>
      </c>
      <c r="D91" s="155">
        <f>SUM(D87:D90)</f>
        <v>262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0</v>
      </c>
      <c r="D92" s="151">
        <v>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192</v>
      </c>
      <c r="D93" s="155">
        <f>D64+D75+D84+D91+D92</f>
        <v>278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4166</v>
      </c>
      <c r="D94" s="164">
        <f>D93+D55</f>
        <v>4345</v>
      </c>
      <c r="E94" s="448" t="s">
        <v>270</v>
      </c>
      <c r="F94" s="289" t="s">
        <v>271</v>
      </c>
      <c r="G94" s="165">
        <f>G36+G39+G55+G79</f>
        <v>4166</v>
      </c>
      <c r="H94" s="165">
        <f>H36+H39+H55+H79</f>
        <v>4358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0" t="s">
        <v>852</v>
      </c>
      <c r="B96" s="431"/>
      <c r="C96" s="150"/>
      <c r="D96" s="150"/>
      <c r="E96" s="432"/>
      <c r="F96" s="170"/>
      <c r="G96" s="171"/>
      <c r="H96" s="172"/>
      <c r="M96" s="157"/>
    </row>
    <row r="97" spans="1:13" ht="15">
      <c r="A97" s="430"/>
      <c r="B97" s="431"/>
      <c r="C97" s="150"/>
      <c r="D97" s="150"/>
      <c r="E97" s="432"/>
      <c r="F97" s="170"/>
      <c r="G97" s="171"/>
      <c r="H97" s="172"/>
      <c r="M97" s="157"/>
    </row>
    <row r="98" spans="1:13" ht="15">
      <c r="A98" s="45" t="s">
        <v>873</v>
      </c>
      <c r="B98" s="431"/>
      <c r="C98" s="577" t="s">
        <v>865</v>
      </c>
      <c r="D98" s="577"/>
      <c r="E98" s="577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77" t="s">
        <v>866</v>
      </c>
      <c r="D100" s="577"/>
      <c r="E100" s="577"/>
    </row>
    <row r="102" spans="1:13" ht="14.25">
      <c r="D102" s="577" t="s">
        <v>875</v>
      </c>
      <c r="E102" s="577"/>
      <c r="F102" s="577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7">
    <mergeCell ref="D102:F102"/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topLeftCell="A19" workbookViewId="0">
      <selection sqref="A1:H52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3" t="str">
        <f>'справка №1-БАЛАНС'!E3</f>
        <v>НИК ЕНЕРРДЖИ ЕООД</v>
      </c>
      <c r="C2" s="583"/>
      <c r="D2" s="583"/>
      <c r="E2" s="583"/>
      <c r="F2" s="585" t="s">
        <v>2</v>
      </c>
      <c r="G2" s="585"/>
      <c r="H2" s="525">
        <f>'справка №1-БАЛАНС'!H3</f>
        <v>117690496</v>
      </c>
    </row>
    <row r="3" spans="1:18" ht="15">
      <c r="A3" s="466" t="s">
        <v>274</v>
      </c>
      <c r="B3" s="583" t="str">
        <f>'справка №1-БАЛАНС'!E4</f>
        <v xml:space="preserve"> </v>
      </c>
      <c r="C3" s="583"/>
      <c r="D3" s="583"/>
      <c r="E3" s="583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4">
        <f>'справка №1-БАЛАНС'!E5</f>
        <v>42916</v>
      </c>
      <c r="C4" s="584"/>
      <c r="D4" s="584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2</v>
      </c>
      <c r="D9" s="46">
        <v>2</v>
      </c>
      <c r="E9" s="298" t="s">
        <v>284</v>
      </c>
      <c r="F9" s="548" t="s">
        <v>285</v>
      </c>
      <c r="G9" s="549">
        <v>253</v>
      </c>
      <c r="H9" s="549">
        <v>239</v>
      </c>
    </row>
    <row r="10" spans="1:18">
      <c r="A10" s="298" t="s">
        <v>286</v>
      </c>
      <c r="B10" s="299" t="s">
        <v>287</v>
      </c>
      <c r="C10" s="46">
        <v>89</v>
      </c>
      <c r="D10" s="46">
        <v>61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93</v>
      </c>
      <c r="D11" s="46">
        <v>97</v>
      </c>
      <c r="E11" s="300" t="s">
        <v>292</v>
      </c>
      <c r="F11" s="548" t="s">
        <v>293</v>
      </c>
      <c r="G11" s="549"/>
      <c r="H11" s="549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8" t="s">
        <v>296</v>
      </c>
      <c r="G12" s="549"/>
      <c r="H12" s="549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0" t="s">
        <v>299</v>
      </c>
      <c r="G13" s="547">
        <f>SUM(G9:G12)</f>
        <v>253</v>
      </c>
      <c r="H13" s="547">
        <f>SUM(H9:H12)</f>
        <v>239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/>
      <c r="D14" s="46"/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3" t="s">
        <v>305</v>
      </c>
      <c r="G15" s="549"/>
      <c r="H15" s="549"/>
    </row>
    <row r="16" spans="1:18">
      <c r="A16" s="298" t="s">
        <v>306</v>
      </c>
      <c r="B16" s="299" t="s">
        <v>307</v>
      </c>
      <c r="C16" s="47">
        <v>1</v>
      </c>
      <c r="D16" s="47">
        <v>1</v>
      </c>
      <c r="E16" s="298" t="s">
        <v>308</v>
      </c>
      <c r="F16" s="551" t="s">
        <v>309</v>
      </c>
      <c r="G16" s="554"/>
      <c r="H16" s="554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185</v>
      </c>
      <c r="D19" s="49">
        <f>SUM(D9:D15)+D16</f>
        <v>161</v>
      </c>
      <c r="E19" s="304" t="s">
        <v>316</v>
      </c>
      <c r="F19" s="551" t="s">
        <v>317</v>
      </c>
      <c r="G19" s="549">
        <v>2</v>
      </c>
      <c r="H19" s="549">
        <v>1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>
        <v>121</v>
      </c>
      <c r="D22" s="46">
        <v>128</v>
      </c>
      <c r="E22" s="304" t="s">
        <v>325</v>
      </c>
      <c r="F22" s="551" t="s">
        <v>326</v>
      </c>
      <c r="G22" s="549"/>
      <c r="H22" s="549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3" t="s">
        <v>333</v>
      </c>
      <c r="G24" s="547">
        <f>SUM(G19:G23)</f>
        <v>2</v>
      </c>
      <c r="H24" s="547">
        <f>SUM(H19:H23)</f>
        <v>1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/>
      <c r="D25" s="46"/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121</v>
      </c>
      <c r="D26" s="49">
        <f>SUM(D22:D25)</f>
        <v>128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306</v>
      </c>
      <c r="D28" s="50">
        <f>D26+D19</f>
        <v>289</v>
      </c>
      <c r="E28" s="127" t="s">
        <v>338</v>
      </c>
      <c r="F28" s="553" t="s">
        <v>339</v>
      </c>
      <c r="G28" s="547">
        <f>G13+G15+G24</f>
        <v>255</v>
      </c>
      <c r="H28" s="547">
        <f>H13+H15+H24</f>
        <v>240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3" t="s">
        <v>343</v>
      </c>
      <c r="G30" s="53">
        <f>IF((C28-G28)&gt;0,C28-G28,0)</f>
        <v>51</v>
      </c>
      <c r="H30" s="53">
        <f>IF((D28-H28)&gt;0,D28-H28,0)</f>
        <v>49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853</v>
      </c>
      <c r="B31" s="306" t="s">
        <v>344</v>
      </c>
      <c r="C31" s="46"/>
      <c r="D31" s="46"/>
      <c r="E31" s="296" t="s">
        <v>856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306</v>
      </c>
      <c r="D33" s="49">
        <f>D28-D31+D32</f>
        <v>289</v>
      </c>
      <c r="E33" s="127" t="s">
        <v>352</v>
      </c>
      <c r="F33" s="553" t="s">
        <v>353</v>
      </c>
      <c r="G33" s="53">
        <f>G32-G31+G28</f>
        <v>255</v>
      </c>
      <c r="H33" s="53">
        <f>H32-H31+H28</f>
        <v>240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3" t="s">
        <v>357</v>
      </c>
      <c r="G34" s="547">
        <f>IF((C33-G33)&gt;0,C33-G33,0)</f>
        <v>51</v>
      </c>
      <c r="H34" s="547">
        <f>IF((D33-H33)&gt;0,D33-H33,0)</f>
        <v>49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29"/>
      <c r="D37" s="429"/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/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0</v>
      </c>
      <c r="D39" s="459">
        <f>+IF((H33-D33-D35)&gt;0,H33-D33-D35,0)</f>
        <v>0</v>
      </c>
      <c r="E39" s="313" t="s">
        <v>368</v>
      </c>
      <c r="F39" s="557" t="s">
        <v>369</v>
      </c>
      <c r="G39" s="558">
        <f>IF(G34&gt;0,IF(C35+G34&lt;0,0,C35+G34),IF(C34-C35&lt;0,C35-C34,0))</f>
        <v>51</v>
      </c>
      <c r="H39" s="558">
        <f>IF(H34&gt;0,IF(D35+H34&lt;0,0,D35+H34),IF(D34-D35&lt;0,D35-D34,0))</f>
        <v>49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0" t="s">
        <v>376</v>
      </c>
      <c r="G41" s="52">
        <f>IF(C39=0,IF(G39-G40&gt;0,G39-G40+C40,0),IF(C39-C40&lt;0,C40-C39+G40,0))</f>
        <v>51</v>
      </c>
      <c r="H41" s="52">
        <f>IF(D39=0,IF(H39-H40&gt;0,H39-H40+D40,0),IF(D39-D40&lt;0,D40-D39+H40,0))</f>
        <v>49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306</v>
      </c>
      <c r="D42" s="53">
        <f>D33+D35+D39</f>
        <v>289</v>
      </c>
      <c r="E42" s="128" t="s">
        <v>379</v>
      </c>
      <c r="F42" s="129" t="s">
        <v>380</v>
      </c>
      <c r="G42" s="53">
        <f>G39+G33</f>
        <v>306</v>
      </c>
      <c r="H42" s="53">
        <f>H39+H33</f>
        <v>289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6" t="s">
        <v>861</v>
      </c>
      <c r="B45" s="586"/>
      <c r="C45" s="586"/>
      <c r="D45" s="586"/>
      <c r="E45" s="586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>
      <c r="A48" s="502" t="s">
        <v>272</v>
      </c>
      <c r="B48" s="574">
        <v>42916</v>
      </c>
      <c r="C48" s="427" t="s">
        <v>381</v>
      </c>
      <c r="D48" s="575" t="s">
        <v>871</v>
      </c>
      <c r="E48" s="576"/>
      <c r="F48" s="576"/>
      <c r="G48" s="575"/>
      <c r="H48" s="575"/>
      <c r="I48" s="543"/>
      <c r="J48" s="543"/>
      <c r="K48" s="543"/>
      <c r="L48" s="543"/>
      <c r="M48" s="543"/>
      <c r="N48" s="543"/>
      <c r="O48" s="543"/>
    </row>
    <row r="49" spans="1:8" ht="14.25">
      <c r="A49" s="560"/>
      <c r="B49" s="561"/>
      <c r="C49" s="577"/>
      <c r="D49" s="577"/>
      <c r="E49" s="577"/>
      <c r="F49" s="577"/>
      <c r="G49" s="577"/>
      <c r="H49" s="577"/>
    </row>
    <row r="50" spans="1:8" ht="12.75" customHeight="1">
      <c r="A50" s="560"/>
      <c r="B50" s="561"/>
      <c r="C50" s="577" t="s">
        <v>866</v>
      </c>
      <c r="D50" s="577" t="s">
        <v>870</v>
      </c>
      <c r="E50" s="577"/>
      <c r="F50" s="577"/>
      <c r="G50" s="577"/>
      <c r="H50" s="577"/>
    </row>
    <row r="51" spans="1:8">
      <c r="A51" s="563"/>
      <c r="B51" s="559"/>
      <c r="C51" s="425"/>
      <c r="D51" s="425"/>
      <c r="E51" s="559"/>
      <c r="F51" s="559"/>
      <c r="G51" s="562"/>
      <c r="H51" s="562"/>
    </row>
    <row r="52" spans="1:8" ht="14.25">
      <c r="A52" s="563"/>
      <c r="B52" s="559"/>
      <c r="C52" s="425"/>
      <c r="D52" s="577" t="s">
        <v>875</v>
      </c>
      <c r="E52" s="577"/>
      <c r="F52" s="577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10">
    <mergeCell ref="D52:F52"/>
    <mergeCell ref="C49:E49"/>
    <mergeCell ref="F49:H49"/>
    <mergeCell ref="C50:E50"/>
    <mergeCell ref="F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29" workbookViewId="0">
      <selection sqref="A1:D5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383</v>
      </c>
      <c r="B4" s="469" t="str">
        <f>'справка №1-БАЛАНС'!E3</f>
        <v>НИК ЕНЕРРДЖИ ЕООД</v>
      </c>
      <c r="C4" s="540" t="s">
        <v>2</v>
      </c>
      <c r="D4" s="540">
        <f>'справка №1-БАЛАНС'!H3</f>
        <v>117690496</v>
      </c>
      <c r="E4" s="323"/>
      <c r="F4" s="323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>
        <f>'справка №1-БАЛАНС'!E5</f>
        <v>42916</v>
      </c>
      <c r="C6" s="471"/>
      <c r="D6" s="472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242</v>
      </c>
      <c r="D10" s="54">
        <v>229</v>
      </c>
      <c r="E10" s="130"/>
      <c r="F10" s="130"/>
    </row>
    <row r="11" spans="1:13">
      <c r="A11" s="332" t="s">
        <v>388</v>
      </c>
      <c r="B11" s="333" t="s">
        <v>389</v>
      </c>
      <c r="C11" s="54">
        <v>-91</v>
      </c>
      <c r="D11" s="54">
        <v>-55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-30</v>
      </c>
      <c r="D14" s="54">
        <v>-27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-1</v>
      </c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-9</v>
      </c>
      <c r="D19" s="54">
        <v>-11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111</v>
      </c>
      <c r="D20" s="55">
        <f>SUM(D10:D19)</f>
        <v>136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-43</v>
      </c>
      <c r="D37" s="54">
        <v>-104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-208</v>
      </c>
      <c r="D41" s="54">
        <v>-1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-251</v>
      </c>
      <c r="D42" s="55">
        <f>SUM(D34:D41)</f>
        <v>-105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-140</v>
      </c>
      <c r="D43" s="55">
        <f>D42+D32+D20</f>
        <v>31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262</v>
      </c>
      <c r="D44" s="132">
        <v>121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122</v>
      </c>
      <c r="D45" s="55">
        <f>D44+D43</f>
        <v>152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122</v>
      </c>
      <c r="D46" s="56">
        <v>152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4" t="s">
        <v>869</v>
      </c>
      <c r="B49" s="435"/>
      <c r="C49" s="319"/>
      <c r="D49" s="436"/>
      <c r="E49" s="343"/>
      <c r="G49" s="133"/>
      <c r="H49" s="133"/>
    </row>
    <row r="50" spans="1:8">
      <c r="A50" s="318"/>
      <c r="B50" s="435" t="s">
        <v>864</v>
      </c>
      <c r="C50" s="587"/>
      <c r="D50" s="587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5" t="s">
        <v>866</v>
      </c>
      <c r="C52" s="587"/>
      <c r="D52" s="587"/>
      <c r="G52" s="133"/>
      <c r="H52" s="133"/>
    </row>
    <row r="53" spans="1:8" ht="14.25">
      <c r="A53" s="318"/>
      <c r="B53" s="577" t="s">
        <v>875</v>
      </c>
      <c r="C53" s="577"/>
      <c r="D53" s="577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3">
    <mergeCell ref="C50:D50"/>
    <mergeCell ref="C52:D52"/>
    <mergeCell ref="B53:D53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74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7"/>
  <sheetViews>
    <sheetView tabSelected="1" topLeftCell="A17" workbookViewId="0">
      <selection sqref="A1:M40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88" t="s">
        <v>459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0" t="str">
        <f>'справка №1-БАЛАНС'!E3</f>
        <v>НИК ЕНЕРРДЖИ ЕООД</v>
      </c>
      <c r="C3" s="590"/>
      <c r="D3" s="590"/>
      <c r="E3" s="590"/>
      <c r="F3" s="590"/>
      <c r="G3" s="590"/>
      <c r="H3" s="590"/>
      <c r="I3" s="590"/>
      <c r="J3" s="475"/>
      <c r="K3" s="592" t="s">
        <v>2</v>
      </c>
      <c r="L3" s="592"/>
      <c r="M3" s="477">
        <f>'справка №1-БАЛАНС'!H3</f>
        <v>117690496</v>
      </c>
      <c r="N3" s="2"/>
    </row>
    <row r="4" spans="1:23" s="531" customFormat="1" ht="13.5" customHeight="1">
      <c r="A4" s="466" t="s">
        <v>460</v>
      </c>
      <c r="B4" s="590" t="str">
        <f>'справка №1-БАЛАНС'!E4</f>
        <v xml:space="preserve"> </v>
      </c>
      <c r="C4" s="590"/>
      <c r="D4" s="590"/>
      <c r="E4" s="590"/>
      <c r="F4" s="590"/>
      <c r="G4" s="590"/>
      <c r="H4" s="590"/>
      <c r="I4" s="590"/>
      <c r="J4" s="136"/>
      <c r="K4" s="593" t="s">
        <v>4</v>
      </c>
      <c r="L4" s="593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4">
        <f>'справка №1-БАЛАНС'!E5</f>
        <v>42916</v>
      </c>
      <c r="C5" s="594"/>
      <c r="D5" s="594"/>
      <c r="E5" s="594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2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1609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0</v>
      </c>
      <c r="J11" s="58">
        <f>'справка №1-БАЛАНС'!H29+'справка №1-БАЛАНС'!H32</f>
        <v>-2869</v>
      </c>
      <c r="K11" s="60"/>
      <c r="L11" s="344">
        <f>SUM(C11:K11)</f>
        <v>-1260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1609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0</v>
      </c>
      <c r="J15" s="61">
        <f t="shared" si="2"/>
        <v>-2869</v>
      </c>
      <c r="K15" s="61">
        <f t="shared" si="2"/>
        <v>0</v>
      </c>
      <c r="L15" s="344">
        <f t="shared" si="1"/>
        <v>-1260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-51</v>
      </c>
      <c r="K16" s="60"/>
      <c r="L16" s="344">
        <f t="shared" si="1"/>
        <v>-51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1609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0</v>
      </c>
      <c r="J29" s="59">
        <f t="shared" si="6"/>
        <v>-2920</v>
      </c>
      <c r="K29" s="59">
        <f t="shared" si="6"/>
        <v>0</v>
      </c>
      <c r="L29" s="344">
        <f t="shared" si="1"/>
        <v>-1311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1609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0</v>
      </c>
      <c r="J32" s="59">
        <f t="shared" si="7"/>
        <v>-2920</v>
      </c>
      <c r="K32" s="59">
        <f t="shared" si="7"/>
        <v>0</v>
      </c>
      <c r="L32" s="344">
        <f t="shared" si="1"/>
        <v>-1311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1" t="s">
        <v>862</v>
      </c>
      <c r="B35" s="591"/>
      <c r="C35" s="591"/>
      <c r="D35" s="591"/>
      <c r="E35" s="591"/>
      <c r="F35" s="591"/>
      <c r="G35" s="591"/>
      <c r="H35" s="591"/>
      <c r="I35" s="591"/>
      <c r="J35" s="591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868</v>
      </c>
      <c r="B38" s="19"/>
      <c r="C38" s="15"/>
      <c r="D38" s="589" t="s">
        <v>865</v>
      </c>
      <c r="E38" s="589"/>
      <c r="F38" s="589"/>
      <c r="G38" s="589"/>
      <c r="H38" s="589"/>
      <c r="I38" s="589"/>
      <c r="J38" s="15" t="s">
        <v>867</v>
      </c>
      <c r="K38" s="15"/>
      <c r="L38" s="589"/>
      <c r="M38" s="589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15"/>
      <c r="L39" s="537"/>
      <c r="M39" s="348"/>
    </row>
    <row r="40" spans="1:14" ht="14.25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77" t="s">
        <v>875</v>
      </c>
      <c r="L40" s="577"/>
      <c r="M40" s="57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K40:M40"/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25" right="0.25" top="0.75" bottom="0.75" header="0.3" footer="0.3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25" workbookViewId="0">
      <selection activeCell="K13" sqref="K1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5" t="s">
        <v>383</v>
      </c>
      <c r="B2" s="596"/>
      <c r="C2" s="597" t="str">
        <f>'справка №1-БАЛАНС'!E3</f>
        <v>НИК ЕНЕРРДЖИ ЕООД</v>
      </c>
      <c r="D2" s="597"/>
      <c r="E2" s="597"/>
      <c r="F2" s="597"/>
      <c r="G2" s="597"/>
      <c r="H2" s="597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117690496</v>
      </c>
      <c r="P2" s="482"/>
      <c r="Q2" s="482"/>
      <c r="R2" s="525"/>
    </row>
    <row r="3" spans="1:28" ht="15">
      <c r="A3" s="595" t="s">
        <v>5</v>
      </c>
      <c r="B3" s="596"/>
      <c r="C3" s="598">
        <f>'справка №1-БАЛАНС'!E5</f>
        <v>42916</v>
      </c>
      <c r="D3" s="598"/>
      <c r="E3" s="598"/>
      <c r="F3" s="484"/>
      <c r="G3" s="484"/>
      <c r="H3" s="484"/>
      <c r="I3" s="484"/>
      <c r="J3" s="484"/>
      <c r="K3" s="484"/>
      <c r="L3" s="484"/>
      <c r="M3" s="603" t="s">
        <v>4</v>
      </c>
      <c r="N3" s="603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100" customFormat="1" ht="30.75" customHeight="1">
      <c r="A5" s="604" t="s">
        <v>463</v>
      </c>
      <c r="B5" s="605"/>
      <c r="C5" s="608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1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1" t="s">
        <v>528</v>
      </c>
      <c r="R5" s="601" t="s">
        <v>529</v>
      </c>
    </row>
    <row r="6" spans="1:28" s="100" customFormat="1" ht="48">
      <c r="A6" s="606"/>
      <c r="B6" s="607"/>
      <c r="C6" s="609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2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2"/>
      <c r="R6" s="602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17</v>
      </c>
      <c r="E9" s="189"/>
      <c r="F9" s="189"/>
      <c r="G9" s="74">
        <f>D9+E9-F9</f>
        <v>17</v>
      </c>
      <c r="H9" s="65"/>
      <c r="I9" s="65"/>
      <c r="J9" s="74">
        <f>G9+H9-I9</f>
        <v>17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17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35</v>
      </c>
      <c r="E11" s="189"/>
      <c r="F11" s="189"/>
      <c r="G11" s="74">
        <f t="shared" si="2"/>
        <v>35</v>
      </c>
      <c r="H11" s="65"/>
      <c r="I11" s="65"/>
      <c r="J11" s="74">
        <f t="shared" si="3"/>
        <v>35</v>
      </c>
      <c r="K11" s="65">
        <v>33</v>
      </c>
      <c r="L11" s="65">
        <v>2</v>
      </c>
      <c r="M11" s="65"/>
      <c r="N11" s="74">
        <f t="shared" si="4"/>
        <v>35</v>
      </c>
      <c r="O11" s="65"/>
      <c r="P11" s="65"/>
      <c r="Q11" s="74">
        <f t="shared" si="0"/>
        <v>35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4590</v>
      </c>
      <c r="E12" s="189"/>
      <c r="F12" s="189"/>
      <c r="G12" s="74">
        <f t="shared" si="2"/>
        <v>4590</v>
      </c>
      <c r="H12" s="65"/>
      <c r="I12" s="65"/>
      <c r="J12" s="74">
        <f t="shared" si="3"/>
        <v>4590</v>
      </c>
      <c r="K12" s="65">
        <v>866</v>
      </c>
      <c r="L12" s="65">
        <v>92</v>
      </c>
      <c r="M12" s="65"/>
      <c r="N12" s="74">
        <f t="shared" si="4"/>
        <v>958</v>
      </c>
      <c r="O12" s="65"/>
      <c r="P12" s="65"/>
      <c r="Q12" s="74">
        <f t="shared" si="0"/>
        <v>958</v>
      </c>
      <c r="R12" s="74">
        <f t="shared" si="1"/>
        <v>3632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858</v>
      </c>
      <c r="B15" s="374" t="s">
        <v>859</v>
      </c>
      <c r="C15" s="455" t="s">
        <v>860</v>
      </c>
      <c r="D15" s="456"/>
      <c r="E15" s="456"/>
      <c r="F15" s="456"/>
      <c r="G15" s="74">
        <f t="shared" si="2"/>
        <v>0</v>
      </c>
      <c r="H15" s="457"/>
      <c r="I15" s="457"/>
      <c r="J15" s="74">
        <f t="shared" si="3"/>
        <v>0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4642</v>
      </c>
      <c r="E17" s="194">
        <f>SUM(E9:E16)</f>
        <v>0</v>
      </c>
      <c r="F17" s="194">
        <f>SUM(F9:F16)</f>
        <v>0</v>
      </c>
      <c r="G17" s="74">
        <f t="shared" si="2"/>
        <v>4642</v>
      </c>
      <c r="H17" s="75">
        <f>SUM(H9:H16)</f>
        <v>0</v>
      </c>
      <c r="I17" s="75">
        <f>SUM(I9:I16)</f>
        <v>0</v>
      </c>
      <c r="J17" s="74">
        <f t="shared" si="3"/>
        <v>4642</v>
      </c>
      <c r="K17" s="75">
        <f>SUM(K9:K16)</f>
        <v>899</v>
      </c>
      <c r="L17" s="75">
        <f>SUM(L9:L16)</f>
        <v>94</v>
      </c>
      <c r="M17" s="75">
        <f>SUM(M9:M16)</f>
        <v>0</v>
      </c>
      <c r="N17" s="74">
        <f t="shared" si="4"/>
        <v>993</v>
      </c>
      <c r="O17" s="75">
        <f>SUM(O9:O16)</f>
        <v>0</v>
      </c>
      <c r="P17" s="75">
        <f>SUM(P9:P16)</f>
        <v>0</v>
      </c>
      <c r="Q17" s="74">
        <f t="shared" si="5"/>
        <v>993</v>
      </c>
      <c r="R17" s="74">
        <f t="shared" si="6"/>
        <v>3649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581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854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601</v>
      </c>
      <c r="B39" s="370" t="s">
        <v>602</v>
      </c>
      <c r="C39" s="369" t="s">
        <v>603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604</v>
      </c>
      <c r="C40" s="359" t="s">
        <v>605</v>
      </c>
      <c r="D40" s="437">
        <f>D17+D18+D19+D25+D38+D39</f>
        <v>4642</v>
      </c>
      <c r="E40" s="437">
        <f>E17+E18+E19+E25+E38+E39</f>
        <v>0</v>
      </c>
      <c r="F40" s="437">
        <f t="shared" ref="F40:R40" si="13">F17+F18+F19+F25+F38+F39</f>
        <v>0</v>
      </c>
      <c r="G40" s="437">
        <f t="shared" si="13"/>
        <v>4642</v>
      </c>
      <c r="H40" s="437">
        <f t="shared" si="13"/>
        <v>0</v>
      </c>
      <c r="I40" s="437">
        <f t="shared" si="13"/>
        <v>0</v>
      </c>
      <c r="J40" s="437">
        <f t="shared" si="13"/>
        <v>4642</v>
      </c>
      <c r="K40" s="437">
        <f t="shared" si="13"/>
        <v>899</v>
      </c>
      <c r="L40" s="437">
        <f t="shared" si="13"/>
        <v>94</v>
      </c>
      <c r="M40" s="437">
        <f t="shared" si="13"/>
        <v>0</v>
      </c>
      <c r="N40" s="437">
        <f t="shared" si="13"/>
        <v>993</v>
      </c>
      <c r="O40" s="437">
        <f t="shared" si="13"/>
        <v>0</v>
      </c>
      <c r="P40" s="437">
        <f t="shared" si="13"/>
        <v>0</v>
      </c>
      <c r="Q40" s="437">
        <f t="shared" si="13"/>
        <v>993</v>
      </c>
      <c r="R40" s="437">
        <f t="shared" si="13"/>
        <v>3649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874</v>
      </c>
      <c r="C44" s="354"/>
      <c r="D44" s="355"/>
      <c r="E44" s="355"/>
      <c r="F44" s="355"/>
      <c r="G44" s="351"/>
      <c r="H44" s="356" t="s">
        <v>607</v>
      </c>
      <c r="I44" s="356"/>
      <c r="J44" s="356"/>
      <c r="K44" s="610"/>
      <c r="L44" s="610"/>
      <c r="M44" s="610"/>
      <c r="N44" s="610"/>
      <c r="O44" s="599" t="s">
        <v>872</v>
      </c>
      <c r="P44" s="600"/>
      <c r="Q44" s="600"/>
      <c r="R44" s="600"/>
    </row>
    <row r="45" spans="1:28">
      <c r="A45" s="349"/>
      <c r="B45" s="349"/>
      <c r="C45" s="349"/>
      <c r="D45" s="530"/>
      <c r="E45" s="530"/>
      <c r="F45" s="530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opLeftCell="A88" workbookViewId="0">
      <selection activeCell="D96" sqref="D96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4" t="s">
        <v>608</v>
      </c>
      <c r="B1" s="614"/>
      <c r="C1" s="614"/>
      <c r="D1" s="614"/>
      <c r="E1" s="614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383</v>
      </c>
      <c r="B3" s="617" t="str">
        <f>'справка №1-БАЛАНС'!E3</f>
        <v>НИК ЕНЕРРДЖИ ЕООД</v>
      </c>
      <c r="C3" s="618"/>
      <c r="D3" s="525" t="s">
        <v>2</v>
      </c>
      <c r="E3" s="107">
        <f>'справка №1-БАЛАНС'!H3</f>
        <v>117690496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5</v>
      </c>
      <c r="B4" s="615">
        <f>'справка №1-БАЛАНС'!E5</f>
        <v>42916</v>
      </c>
      <c r="C4" s="616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463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53</v>
      </c>
      <c r="D11" s="119">
        <f>SUM(D12:D14)</f>
        <v>0</v>
      </c>
      <c r="E11" s="120">
        <f>SUM(E12:E14)</f>
        <v>53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>
        <v>53</v>
      </c>
      <c r="D12" s="108"/>
      <c r="E12" s="120">
        <f t="shared" ref="E12:E42" si="0">C12-D12</f>
        <v>53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53</v>
      </c>
      <c r="D19" s="104">
        <f>D11+D15+D16</f>
        <v>0</v>
      </c>
      <c r="E19" s="118">
        <f>E11+E15+E16</f>
        <v>53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>
        <v>272</v>
      </c>
      <c r="D21" s="108"/>
      <c r="E21" s="120">
        <f t="shared" si="0"/>
        <v>272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v>69</v>
      </c>
      <c r="D28" s="108">
        <v>69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v>2</v>
      </c>
      <c r="D29" s="108">
        <v>3</v>
      </c>
      <c r="E29" s="120">
        <f t="shared" si="0"/>
        <v>-1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/>
      <c r="D31" s="108"/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/>
      <c r="D32" s="108"/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/>
      <c r="D42" s="108"/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71</v>
      </c>
      <c r="D43" s="104">
        <f>D24+D28+D29+D31+D30+D32+D33+D38</f>
        <v>72</v>
      </c>
      <c r="E43" s="118">
        <f>E24+E28+E29+E31+E30+E32+E33+E38</f>
        <v>-1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396</v>
      </c>
      <c r="D44" s="103">
        <f>D43+D21+D19+D9</f>
        <v>72</v>
      </c>
      <c r="E44" s="118">
        <f>E43+E21+E19+E9</f>
        <v>324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5387</v>
      </c>
      <c r="D52" s="103">
        <f>SUM(D53:D55)</f>
        <v>998</v>
      </c>
      <c r="E52" s="119">
        <f>C52-D52</f>
        <v>4389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>
        <v>5387</v>
      </c>
      <c r="D53" s="108">
        <v>998</v>
      </c>
      <c r="E53" s="119">
        <f>C53-D53</f>
        <v>4389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/>
      <c r="D64" s="108"/>
      <c r="E64" s="119">
        <f t="shared" si="1"/>
        <v>0</v>
      </c>
      <c r="F64" s="110"/>
    </row>
    <row r="65" spans="1:16">
      <c r="A65" s="396" t="s">
        <v>708</v>
      </c>
      <c r="B65" s="397" t="s">
        <v>709</v>
      </c>
      <c r="C65" s="109"/>
      <c r="D65" s="109"/>
      <c r="E65" s="119">
        <f t="shared" si="1"/>
        <v>0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5387</v>
      </c>
      <c r="D66" s="103">
        <f>D52+D56+D61+D62+D63+D64</f>
        <v>998</v>
      </c>
      <c r="E66" s="119">
        <f t="shared" si="1"/>
        <v>4389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20</v>
      </c>
      <c r="D85" s="104">
        <f>SUM(D86:D90)+D94</f>
        <v>20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v>11</v>
      </c>
      <c r="D87" s="108">
        <v>11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/>
      <c r="D89" s="108"/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9</v>
      </c>
      <c r="D90" s="103">
        <f>SUM(D91:D93)</f>
        <v>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9</v>
      </c>
      <c r="D92" s="108">
        <v>9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/>
      <c r="D93" s="108"/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/>
      <c r="D94" s="108"/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v>70</v>
      </c>
      <c r="D95" s="108"/>
      <c r="E95" s="119">
        <f t="shared" si="1"/>
        <v>70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90</v>
      </c>
      <c r="D96" s="104">
        <f>D85+D80+D75+D71+D95</f>
        <v>20</v>
      </c>
      <c r="E96" s="104">
        <f>E85+E80+E75+E71+E95</f>
        <v>70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5477</v>
      </c>
      <c r="D97" s="104">
        <f>D96+D68+D66</f>
        <v>1018</v>
      </c>
      <c r="E97" s="104">
        <f>E96+E68+E66</f>
        <v>4459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463</v>
      </c>
      <c r="B100" s="395" t="s">
        <v>464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/>
      <c r="D104" s="108"/>
      <c r="E104" s="108"/>
      <c r="F104" s="125">
        <f>C104+D104-E104</f>
        <v>0</v>
      </c>
    </row>
    <row r="105" spans="1:27">
      <c r="A105" s="412" t="s">
        <v>776</v>
      </c>
      <c r="B105" s="395" t="s">
        <v>777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3" t="s">
        <v>779</v>
      </c>
      <c r="B107" s="613"/>
      <c r="C107" s="613"/>
      <c r="D107" s="613"/>
      <c r="E107" s="613"/>
      <c r="F107" s="613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2" t="s">
        <v>873</v>
      </c>
      <c r="B109" s="612"/>
      <c r="C109" s="612" t="s">
        <v>381</v>
      </c>
      <c r="D109" s="612"/>
      <c r="E109" s="612"/>
      <c r="F109" s="612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1" t="s">
        <v>781</v>
      </c>
      <c r="D111" s="611"/>
      <c r="E111" s="611"/>
      <c r="F111" s="611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2" orientation="portrait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383</v>
      </c>
      <c r="B4" s="619" t="str">
        <f>'справка №1-БАЛАНС'!E3</f>
        <v>НИК ЕНЕРРДЖИ ЕООД</v>
      </c>
      <c r="C4" s="619"/>
      <c r="D4" s="619"/>
      <c r="E4" s="619"/>
      <c r="F4" s="619"/>
      <c r="G4" s="625" t="s">
        <v>2</v>
      </c>
      <c r="H4" s="625"/>
      <c r="I4" s="499">
        <f>'справка №1-БАЛАНС'!H3</f>
        <v>117690496</v>
      </c>
    </row>
    <row r="5" spans="1:9" ht="15">
      <c r="A5" s="500" t="s">
        <v>5</v>
      </c>
      <c r="B5" s="620">
        <f>'справка №1-БАЛАНС'!E5</f>
        <v>42916</v>
      </c>
      <c r="C5" s="620"/>
      <c r="D5" s="620"/>
      <c r="E5" s="620"/>
      <c r="F5" s="620"/>
      <c r="G5" s="623" t="s">
        <v>4</v>
      </c>
      <c r="H5" s="624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40" t="s">
        <v>463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794</v>
      </c>
      <c r="B12" s="90" t="s">
        <v>795</v>
      </c>
      <c r="C12" s="438"/>
      <c r="D12" s="98"/>
      <c r="E12" s="98"/>
      <c r="F12" s="98"/>
      <c r="G12" s="98"/>
      <c r="H12" s="98"/>
      <c r="I12" s="433">
        <f>F12+G12-H12</f>
        <v>0</v>
      </c>
    </row>
    <row r="13" spans="1:9" s="520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3">
        <f t="shared" ref="I13:I26" si="0">F13+G13-H13</f>
        <v>0</v>
      </c>
    </row>
    <row r="14" spans="1:9" s="520" customFormat="1">
      <c r="A14" s="76" t="s">
        <v>594</v>
      </c>
      <c r="B14" s="90" t="s">
        <v>798</v>
      </c>
      <c r="C14" s="195"/>
      <c r="D14" s="195"/>
      <c r="E14" s="195"/>
      <c r="F14" s="195"/>
      <c r="G14" s="195"/>
      <c r="H14" s="195"/>
      <c r="I14" s="433">
        <f t="shared" si="0"/>
        <v>0</v>
      </c>
    </row>
    <row r="15" spans="1:9" s="520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3">
        <f t="shared" si="0"/>
        <v>0</v>
      </c>
    </row>
    <row r="16" spans="1:9" s="520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3">
        <f t="shared" si="0"/>
        <v>0</v>
      </c>
    </row>
    <row r="17" spans="1:16" s="520" customFormat="1">
      <c r="A17" s="91" t="s">
        <v>563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3">
        <f t="shared" si="0"/>
        <v>0</v>
      </c>
    </row>
    <row r="18" spans="1:16" s="520" customFormat="1">
      <c r="A18" s="88" t="s">
        <v>803</v>
      </c>
      <c r="B18" s="93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809</v>
      </c>
      <c r="B22" s="90" t="s">
        <v>810</v>
      </c>
      <c r="C22" s="98"/>
      <c r="D22" s="98"/>
      <c r="E22" s="98"/>
      <c r="F22" s="439"/>
      <c r="G22" s="98"/>
      <c r="H22" s="98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580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780</v>
      </c>
      <c r="B30" s="622"/>
      <c r="C30" s="622"/>
      <c r="D30" s="458" t="s">
        <v>819</v>
      </c>
      <c r="E30" s="621"/>
      <c r="F30" s="621"/>
      <c r="G30" s="621"/>
      <c r="H30" s="420" t="s">
        <v>781</v>
      </c>
      <c r="I30" s="621"/>
      <c r="J30" s="621"/>
    </row>
    <row r="31" spans="1:16" s="520" customFormat="1">
      <c r="A31" s="349"/>
      <c r="B31" s="388"/>
      <c r="C31" s="349"/>
      <c r="D31" s="522"/>
      <c r="E31" s="522"/>
      <c r="F31" s="522"/>
      <c r="G31" s="522"/>
      <c r="H31" s="522"/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53"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6" t="str">
        <f>'справка №1-БАЛАНС'!E3</f>
        <v>НИК ЕНЕРРДЖИ ЕООД</v>
      </c>
      <c r="C5" s="626"/>
      <c r="D5" s="626"/>
      <c r="E5" s="569" t="s">
        <v>2</v>
      </c>
      <c r="F5" s="450">
        <f>'справка №1-БАЛАНС'!H3</f>
        <v>117690496</v>
      </c>
    </row>
    <row r="6" spans="1:15" ht="15" customHeight="1">
      <c r="A6" s="27" t="s">
        <v>822</v>
      </c>
      <c r="B6" s="627">
        <f>'справка №1-БАЛАНС'!E5</f>
        <v>42916</v>
      </c>
      <c r="C6" s="627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8"/>
      <c r="D10" s="428"/>
      <c r="E10" s="428"/>
      <c r="F10" s="428"/>
    </row>
    <row r="11" spans="1:15" ht="18" customHeight="1">
      <c r="A11" s="36" t="s">
        <v>829</v>
      </c>
      <c r="B11" s="37"/>
      <c r="C11" s="428"/>
      <c r="D11" s="428"/>
      <c r="E11" s="428"/>
      <c r="F11" s="428"/>
    </row>
    <row r="12" spans="1:15" ht="14.25" customHeight="1">
      <c r="A12" s="36" t="s">
        <v>830</v>
      </c>
      <c r="B12" s="37"/>
      <c r="C12" s="440"/>
      <c r="D12" s="440"/>
      <c r="E12" s="440"/>
      <c r="F12" s="442">
        <f>C12-E12</f>
        <v>0</v>
      </c>
    </row>
    <row r="13" spans="1:15">
      <c r="A13" s="36" t="s">
        <v>831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548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551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563</v>
      </c>
      <c r="B27" s="39" t="s">
        <v>832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833</v>
      </c>
      <c r="B28" s="40"/>
      <c r="C28" s="428"/>
      <c r="D28" s="428"/>
      <c r="E28" s="428"/>
      <c r="F28" s="441"/>
    </row>
    <row r="29" spans="1:16">
      <c r="A29" s="36" t="s">
        <v>542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545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548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551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580</v>
      </c>
      <c r="B44" s="39" t="s">
        <v>834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835</v>
      </c>
      <c r="B45" s="40"/>
      <c r="C45" s="428"/>
      <c r="D45" s="428"/>
      <c r="E45" s="428"/>
      <c r="F45" s="441"/>
    </row>
    <row r="46" spans="1:16">
      <c r="A46" s="36" t="s">
        <v>542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545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548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551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599</v>
      </c>
      <c r="B61" s="39" t="s">
        <v>836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837</v>
      </c>
      <c r="B62" s="40"/>
      <c r="C62" s="428"/>
      <c r="D62" s="428"/>
      <c r="E62" s="428"/>
      <c r="F62" s="441"/>
    </row>
    <row r="63" spans="1:16">
      <c r="A63" s="36" t="s">
        <v>542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545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548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551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838</v>
      </c>
      <c r="B78" s="39" t="s">
        <v>839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840</v>
      </c>
      <c r="B79" s="39" t="s">
        <v>841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842</v>
      </c>
      <c r="B80" s="39"/>
      <c r="C80" s="428"/>
      <c r="D80" s="428"/>
      <c r="E80" s="428"/>
      <c r="F80" s="441"/>
    </row>
    <row r="81" spans="1:6" ht="14.25" customHeight="1">
      <c r="A81" s="36" t="s">
        <v>829</v>
      </c>
      <c r="B81" s="40"/>
      <c r="C81" s="428"/>
      <c r="D81" s="428"/>
      <c r="E81" s="428"/>
      <c r="F81" s="441"/>
    </row>
    <row r="82" spans="1:6">
      <c r="A82" s="36" t="s">
        <v>830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831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548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551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563</v>
      </c>
      <c r="B97" s="39" t="s">
        <v>843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833</v>
      </c>
      <c r="B98" s="40"/>
      <c r="C98" s="428"/>
      <c r="D98" s="428"/>
      <c r="E98" s="428"/>
      <c r="F98" s="441"/>
    </row>
    <row r="99" spans="1:16">
      <c r="A99" s="36" t="s">
        <v>542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545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548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551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580</v>
      </c>
      <c r="B114" s="39" t="s">
        <v>844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835</v>
      </c>
      <c r="B115" s="40"/>
      <c r="C115" s="428"/>
      <c r="D115" s="428"/>
      <c r="E115" s="428"/>
      <c r="F115" s="441"/>
    </row>
    <row r="116" spans="1:16">
      <c r="A116" s="36" t="s">
        <v>542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545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548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551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599</v>
      </c>
      <c r="B131" s="39" t="s">
        <v>845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837</v>
      </c>
      <c r="B132" s="40"/>
      <c r="C132" s="428"/>
      <c r="D132" s="428"/>
      <c r="E132" s="428"/>
      <c r="F132" s="441"/>
    </row>
    <row r="133" spans="1:16">
      <c r="A133" s="36" t="s">
        <v>542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545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548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551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838</v>
      </c>
      <c r="B148" s="39" t="s">
        <v>846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847</v>
      </c>
      <c r="B149" s="39" t="s">
        <v>848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849</v>
      </c>
      <c r="B151" s="452"/>
      <c r="C151" s="628" t="s">
        <v>850</v>
      </c>
      <c r="D151" s="628"/>
      <c r="E151" s="628"/>
      <c r="F151" s="628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28" t="s">
        <v>857</v>
      </c>
      <c r="D153" s="628"/>
      <c r="E153" s="628"/>
      <c r="F153" s="628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Polia</cp:lastModifiedBy>
  <cp:lastPrinted>2017-07-14T07:29:41Z</cp:lastPrinted>
  <dcterms:created xsi:type="dcterms:W3CDTF">2000-06-29T12:02:40Z</dcterms:created>
  <dcterms:modified xsi:type="dcterms:W3CDTF">2017-07-14T07:50:58Z</dcterms:modified>
</cp:coreProperties>
</file>