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1" i="3" l="1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R24" i="5" s="1"/>
  <c r="N16" i="5"/>
  <c r="Q16" i="5" s="1"/>
  <c r="R20" i="5"/>
  <c r="Q21" i="5"/>
  <c r="R21" i="5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71" i="6" l="1"/>
  <c r="D93" i="1"/>
  <c r="E15" i="4"/>
  <c r="E29" i="4" s="1"/>
  <c r="E32" i="4" s="1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<sst xmlns="http://schemas.openxmlformats.org/spreadsheetml/2006/main" count="1061" uniqueCount="873">
  <si>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</si>
  <si>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</si>
  <si>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</si>
  <si>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</si>
  <si>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</si>
  <si>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</si>
  <si>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</si>
  <si>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</si>
  <si>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</si>
  <si>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</si>
  <si>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</si>
  <si>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</si>
  <si>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</si>
  <si>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</si>
  <si>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</si>
  <si>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</si>
  <si>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</si>
  <si>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</si>
  <si>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</si>
  <si>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</si>
  <si>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</si>
  <si>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</si>
  <si>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</si>
  <si>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</si>
  <si>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</si>
  <si>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</si>
  <si>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</si>
  <si>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</si>
  <si>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</si>
  <si>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</si>
  <si>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</si>
  <si>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</si>
  <si>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</si>
  <si>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</si>
  <si>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</si>
  <si>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</si>
  <si>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</si>
  <si>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</si>
  <si>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</si>
  <si>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</si>
  <si>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</si>
  <si>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</si>
  <si>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</si>
  <si>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</si>
  <si>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</si>
  <si>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</si>
  <si>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</si>
  <si>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</si>
  <si>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</si>
  <si>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</si>
  <si>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</si>
  <si>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</si>
  <si>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</si>
  <si>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</si>
  <si>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</si>
  <si>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</si>
  <si>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</si>
  <si>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</si>
  <si>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</si>
  <si>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</si>
  <si>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</si>
  <si>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</si>
  <si>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</si>
  <si>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</si>
  <si>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</si>
  <si>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</si>
  <si>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</si>
  <si>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</si>
  <si>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</si>
  <si>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</si>
  <si>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</si>
  <si>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</si>
  <si>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</si>
  <si>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</si>
  <si>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</si>
  <si>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</si>
  <si>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</si>
  <si>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</si>
  <si>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</si>
  <si>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</si>
  <si>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</si>
  <si>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</si>
  <si>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</si>
  <si>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</si>
  <si>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</si>
  <si>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</si>
  <si>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</si>
  <si>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</si>
  <si>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</si>
  <si>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</si>
  <si>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</si>
  <si>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</si>
  <si>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</si>
  <si>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</si>
  <si>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</si>
  <si>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</si>
  <si>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</si>
  <si>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</si>
  <si>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</si>
  <si>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</si>
  <si>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</si>
  <si>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</si>
  <si>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</si>
  <si>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</si>
  <si>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</si>
  <si>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</si>
  <si>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</si>
  <si>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</si>
  <si>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</si>
  <si>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</si>
  <si>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</si>
  <si>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</si>
  <si>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</si>
  <si>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</si>
  <si>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</si>
  <si>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</si>
  <si>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</si>
  <si>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</si>
  <si>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</si>
  <si>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</si>
  <si>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</si>
  <si>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</si>
  <si>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</si>
  <si>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</si>
  <si>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</si>
  <si>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</si>
  <si>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</si>
  <si>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</si>
  <si>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</si>
  <si>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</si>
  <si>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</si>
  <si>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</si>
  <si>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</si>
  <si>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</si>
  <si>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</si>
  <si>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</si>
  <si>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</si>
  <si>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</si>
  <si>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</si>
  <si>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</si>
  <si>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</si>
  <si>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</si>
  <si>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</si>
  <si>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</si>
  <si>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</si>
  <si>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</si>
  <si>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</si>
  <si>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</si>
  <si>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</si>
  <si>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</si>
  <si>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</si>
  <si>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</si>
  <si>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</si>
  <si>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</si>
  <si>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</si>
  <si>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</si>
  <si>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</si>
  <si>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</si>
  <si>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</si>
  <si>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</si>
  <si>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</si>
  <si>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</si>
  <si>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</si>
  <si>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</si>
  <si>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</si>
  <si>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</si>
  <si>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</si>
  <si>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</si>
  <si>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</si>
  <si>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</si>
  <si>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</si>
  <si>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</si>
  <si>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</si>
  <si>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</si>
  <si>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</si>
  <si>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</si>
  <si>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</si>
  <si>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</si>
  <si>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</si>
  <si>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</si>
  <si>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</si>
  <si>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</si>
  <si>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</si>
  <si>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</si>
  <si>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</si>
  <si>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</si>
  <si>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</si>
  <si>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</si>
  <si>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</si>
  <si>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</si>
  <si>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</si>
  <si>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</si>
  <si>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</si>
  <si>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</si>
  <si>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</si>
  <si>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</si>
  <si>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</si>
  <si>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</si>
  <si>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</si>
  <si>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</si>
  <si>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</si>
  <si>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</si>
  <si>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</si>
  <si>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</si>
  <si>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</si>
  <si>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</si>
  <si>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</si>
  <si>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</si>
  <si>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</si>
  <si>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</si>
  <si>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</si>
  <si>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</si>
  <si>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</si>
  <si>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</si>
  <si>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</si>
  <si>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</si>
  <si>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</si>
  <si>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</si>
  <si>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</si>
  <si>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</si>
  <si>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</si>
  <si>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</si>
  <si>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</si>
  <si>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</si>
  <si>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</si>
  <si>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</si>
  <si>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</si>
  <si>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</si>
  <si>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</si>
  <si>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</si>
  <si>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</si>
  <si>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</si>
  <si>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</si>
  <si>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</si>
  <si>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</si>
  <si>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</si>
  <si>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</si>
  <si>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</si>
  <si>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</si>
  <si>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</si>
  <si>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</si>
  <si>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</si>
  <si>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</si>
  <si>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</si>
  <si>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</si>
  <si>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</si>
  <si>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</si>
  <si>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</si>
  <si>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</si>
  <si>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</si>
  <si>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</si>
  <si>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</si>
  <si>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</si>
  <si>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</si>
  <si>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</si>
  <si>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</si>
  <si>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</si>
  <si>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</si>
  <si>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</si>
  <si>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</si>
  <si>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</si>
  <si>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</si>
  <si>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</si>
  <si>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</si>
  <si>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</si>
  <si>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</si>
  <si>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</si>
  <si>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</si>
  <si>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</si>
  <si>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</si>
  <si>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</si>
  <si>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</si>
  <si>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</si>
  <si>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</si>
  <si>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</si>
  <si>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</si>
  <si>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</si>
  <si>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</si>
  <si>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</si>
  <si>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</si>
  <si>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</si>
  <si>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</si>
  <si>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</si>
  <si>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</si>
  <si>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</si>
  <si>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</si>
  <si>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</si>
  <si>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</si>
  <si>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</si>
  <si>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</si>
  <si>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</si>
  <si>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</si>
  <si>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</si>
  <si>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</si>
  <si>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</si>
  <si>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</si>
  <si>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</si>
  <si>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</si>
  <si>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</si>
  <si>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</si>
  <si>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</si>
  <si>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</si>
  <si>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</si>
  <si>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</si>
  <si>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</si>
  <si>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</si>
  <si>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</si>
  <si>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</si>
  <si>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</si>
  <si>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</si>
  <si>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</si>
  <si>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</si>
  <si>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</si>
  <si>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</si>
  <si>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</si>
  <si>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</si>
  <si>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</si>
  <si>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</si>
  <si>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</si>
  <si>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</si>
  <si>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</si>
  <si>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</si>
  <si>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</si>
  <si>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</si>
  <si>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</si>
  <si>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</si>
  <si>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</si>
  <si>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</si>
  <si>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</si>
  <si>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</si>
  <si>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</si>
  <si>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</si>
  <si>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</si>
  <si>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</si>
  <si>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</si>
  <si>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</si>
  <si>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</si>
  <si>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</si>
  <si>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</si>
  <si>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</si>
  <si>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</si>
  <si>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</si>
  <si>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</si>
  <si>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</si>
  <si>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</si>
  <si>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</si>
  <si>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</si>
  <si>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</si>
  <si>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</si>
  <si>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</si>
  <si>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</si>
  <si>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</si>
  <si>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</si>
  <si>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</si>
  <si>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</si>
  <si>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</si>
  <si>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</si>
  <si>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</si>
  <si>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</si>
  <si>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</si>
  <si>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</si>
  <si>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</si>
  <si>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</si>
  <si>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</si>
  <si>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</si>
  <si>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</si>
  <si>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</si>
  <si>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</si>
  <si>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</si>
  <si>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</si>
  <si>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</si>
  <si>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</si>
  <si>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</si>
  <si>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</si>
  <si>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</si>
  <si>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</si>
  <si>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</si>
  <si>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</si>
  <si>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</si>
  <si>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</si>
  <si>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</si>
  <si>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</si>
  <si>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</si>
  <si>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</si>
  <si>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</si>
  <si>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</si>
  <si>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</si>
  <si>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</si>
  <si>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</si>
  <si>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</si>
  <si>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</si>
  <si>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</si>
  <si>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</si>
  <si>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</si>
  <si>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</si>
  <si>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</si>
  <si>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</si>
  <si>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</si>
  <si>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</si>
  <si>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</si>
  <si>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</si>
  <si>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</si>
  <si>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</si>
  <si>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</si>
  <si>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</si>
  <si>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</si>
  <si>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</si>
  <si>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</si>
  <si>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</si>
  <si>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</si>
  <si>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</si>
  <si>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</si>
  <si>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</si>
  <si>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</si>
  <si>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</si>
  <si>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</si>
  <si>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</si>
  <si>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</si>
  <si>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</si>
  <si>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</si>
  <si>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</si>
  <si>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</si>
  <si>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</si>
  <si>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</si>
  <si>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</si>
  <si>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</si>
  <si>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</si>
  <si>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</si>
  <si>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</si>
  <si>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</si>
  <si>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</si>
  <si>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</si>
  <si>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</si>
  <si>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</si>
  <si>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</si>
  <si>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</si>
  <si>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</si>
  <si>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</si>
  <si>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</si>
  <si>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</si>
  <si>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</si>
  <si>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</si>
  <si>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</si>
  <si>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</si>
  <si>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</si>
  <si>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</si>
  <si>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</si>
  <si>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</si>
  <si>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</si>
  <si>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</si>
  <si>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</si>
  <si>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</si>
  <si>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</si>
  <si>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</si>
  <si>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</si>
  <si>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</si>
  <si>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</si>
  <si>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</si>
  <si>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</si>
  <si>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</si>
  <si>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</si>
  <si>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</si>
  <si>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</si>
  <si>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</si>
  <si>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</si>
  <si>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</si>
  <si>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</si>
  <si>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</si>
  <si>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</si>
  <si>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</si>
  <si>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</si>
  <si>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</si>
  <si>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</si>
  <si>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</si>
  <si>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</si>
  <si>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</si>
  <si>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</si>
  <si>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</si>
  <si>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</si>
  <si>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</si>
  <si>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</si>
  <si>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</si>
  <si>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</si>
  <si>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</si>
  <si>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</si>
  <si>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</si>
  <si>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</si>
  <si>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</si>
  <si>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</si>
  <si>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</si>
  <si>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</si>
  <si>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</si>
  <si>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</si>
  <si>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</si>
  <si>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</si>
  <si>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</si>
  <si>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</si>
  <si>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</si>
  <si>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</si>
  <si>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</si>
  <si>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</si>
  <si>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</si>
  <si>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</si>
  <si>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</si>
  <si>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</si>
  <si>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</si>
  <si>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</si>
  <si>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</si>
  <si>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</si>
  <si>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</si>
  <si>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</si>
  <si>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</si>
  <si>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</si>
  <si>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</si>
  <si>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</si>
  <si>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</si>
  <si>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</si>
  <si>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</si>
  <si>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</si>
  <si>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</si>
  <si>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</si>
  <si>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</si>
  <si>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</si>
  <si>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</si>
  <si>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</si>
  <si>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</si>
  <si>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</si>
  <si>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</si>
  <si>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</si>
  <si>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</si>
  <si>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</si>
  <si>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</si>
  <si>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</si>
  <si>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</si>
  <si>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</si>
  <si>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</si>
  <si>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</si>
  <si>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</si>
  <si>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</si>
  <si>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</si>
  <si>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</si>
  <si>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</si>
  <si>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</si>
  <si>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</si>
  <si>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</si>
  <si>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</si>
  <si>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</si>
  <si>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</si>
  <si>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</si>
  <si>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</si>
  <si>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</si>
  <si>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</si>
  <si>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</si>
  <si>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</si>
  <si>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</si>
  <si>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</si>
  <si>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</si>
  <si>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</si>
  <si>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</si>
  <si>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</si>
  <si>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</si>
  <si>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</si>
  <si>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</si>
  <si>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</si>
  <si>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</si>
  <si>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</si>
  <si>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</si>
  <si>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</si>
  <si>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</si>
  <si>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</si>
  <si>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</si>
  <si>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</si>
  <si>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</si>
  <si>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</si>
  <si>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</si>
  <si>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</si>
  <si>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</si>
  <si>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</si>
  <si>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</si>
  <si>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</si>
  <si>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</si>
  <si>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</si>
  <si>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</si>
  <si>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</si>
  <si>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</si>
  <si>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</si>
  <si>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</si>
  <si>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</si>
  <si>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</si>
  <si>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</si>
  <si>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</si>
  <si>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</si>
  <si>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</si>
  <si>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</si>
  <si>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</si>
  <si>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</si>
  <si>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</si>
  <si>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</si>
  <si>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</si>
  <si>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</si>
  <si>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</si>
  <si>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</si>
  <si>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</si>
  <si>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</si>
  <si>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</si>
  <si>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</si>
  <si>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</si>
  <si>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</si>
  <si>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</si>
  <si>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</si>
  <si>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</si>
  <si>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</si>
  <si>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</si>
  <si>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</si>
  <si>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</si>
  <si>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</si>
  <si>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</si>
  <si>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</si>
  <si>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</si>
  <si>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</si>
  <si>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</si>
  <si>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</si>
  <si>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</si>
  <si>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</si>
  <si>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</si>
  <si>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</si>
  <si>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</si>
  <si>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</si>
  <si>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</si>
  <si>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</si>
  <si>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</si>
  <si>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</si>
  <si>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</si>
  <si>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</si>
  <si>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</si>
  <si>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</si>
  <si>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</si>
  <si>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</si>
  <si>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</si>
  <si>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</si>
  <si>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</si>
  <si>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</si>
  <si>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</si>
  <si>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</si>
  <si>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</si>
  <si>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</si>
  <si>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</si>
  <si>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</si>
  <si>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</si>
  <si>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</si>
  <si>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</si>
  <si>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</si>
  <si>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</si>
  <si>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</si>
  <si>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</si>
  <si>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</si>
  <si>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</si>
  <si>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</si>
  <si>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</si>
  <si>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</si>
  <si>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</si>
  <si>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</si>
  <si>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</si>
  <si>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</si>
  <si>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</si>
  <si>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</si>
  <si>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</si>
  <si>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</si>
  <si>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</si>
  <si>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</si>
  <si>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</si>
  <si>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</si>
  <si>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</si>
  <si>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</si>
  <si>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</si>
  <si>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</si>
  <si>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</si>
  <si>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</si>
  <si>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</si>
  <si>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</si>
  <si>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</si>
  <si>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</si>
  <si>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</si>
  <si>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</si>
  <si>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</si>
  <si>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</si>
  <si>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</si>
  <si>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</si>
  <si>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</si>
  <si>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</si>
  <si>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</si>
  <si>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</si>
  <si>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</si>
  <si>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</si>
  <si>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</si>
  <si>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</si>
  <si>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</si>
  <si>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</si>
  <si>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</si>
  <si>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</si>
  <si>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</si>
  <si>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</si>
  <si>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</si>
  <si>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</si>
  <si>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</si>
  <si>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</si>
  <si>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</si>
  <si>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</si>
  <si>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</si>
  <si>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</si>
  <si>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</si>
  <si>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</si>
  <si>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</si>
  <si>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</si>
  <si>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</si>
  <si>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</si>
  <si>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</si>
  <si>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</si>
  <si>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</si>
  <si>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</si>
  <si>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</si>
  <si>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</si>
  <si>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</si>
  <si>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</si>
  <si>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</si>
  <si>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</si>
  <si>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</si>
  <si>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</si>
  <si>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</si>
  <si>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</si>
  <si>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</si>
  <si>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</si>
  <si>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</si>
  <si>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</si>
  <si>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</si>
  <si>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</si>
  <si>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</si>
  <si>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</si>
  <si>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</si>
  <si>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</si>
  <si>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</si>
  <si>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</si>
  <si>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</si>
  <si>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</si>
  <si>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</si>
  <si>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</si>
  <si>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</si>
  <si>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</si>
  <si>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</si>
  <si>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</si>
  <si>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</si>
  <si>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</si>
  <si>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</si>
  <si>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</si>
  <si>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</si>
  <si>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</si>
  <si>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</si>
  <si>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</si>
  <si>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</si>
  <si>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</si>
  <si>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</si>
  <si>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</si>
  <si>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</si>
  <si>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</si>
  <si>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</si>
  <si>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</si>
  <si>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</si>
  <si>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</si>
  <si>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</si>
  <si>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</si>
  <si>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</si>
  <si>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</si>
  <si>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</si>
  <si>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</si>
  <si>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</si>
  <si>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</si>
  <si>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</si>
  <si>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</si>
  <si>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</si>
  <si>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</si>
  <si>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</si>
  <si>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</si>
  <si>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</si>
  <si>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</si>
  <si>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</si>
  <si>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</si>
  <si>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</si>
  <si>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</si>
  <si>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</si>
  <si>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</si>
  <si>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</si>
  <si>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</si>
  <si>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</si>
  <si>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</si>
  <si>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</si>
  <si>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</si>
  <si>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</si>
  <si>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</si>
  <si>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</si>
  <si>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</si>
  <si>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</si>
  <si>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</si>
  <si>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</si>
  <si>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</si>
  <si>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</si>
  <si>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</si>
  <si>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</si>
  <si>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</si>
  <si>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</si>
  <si>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</si>
  <si>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</si>
  <si>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</si>
  <si>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</si>
  <si>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</si>
  <si>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</si>
  <si>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</si>
  <si>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</si>
  <si>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</si>
  <si>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</si>
  <si>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</si>
  <si>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</si>
  <si>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</si>
  <si>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</si>
  <si>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</si>
  <si>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</si>
  <si>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</si>
  <si>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</si>
  <si>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</si>
  <si>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</si>
  <si>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</si>
  <si>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</si>
  <si>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</si>
  <si>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</si>
  <si>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</si>
  <si>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</si>
  <si>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</si>
  <si>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</si>
  <si>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</si>
  <si>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</si>
  <si>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</si>
  <si>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</si>
  <si>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</si>
  <si>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</si>
  <si>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</si>
  <si>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</si>
  <si>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</si>
  <si>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</si>
  <si>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</si>
  <si>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</si>
  <si>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</si>
  <si>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</si>
  <si>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</si>
  <si>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</si>
  <si>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</si>
  <si>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</si>
  <si>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</si>
  <si>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</si>
  <si>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</si>
  <si>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</si>
  <si>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</si>
  <si>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</si>
  <si>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</si>
  <si>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</si>
  <si>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</si>
  <si>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</si>
  <si>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</si>
  <si>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</si>
  <si>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</si>
  <si>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</si>
  <si>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</si>
  <si>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</si>
  <si>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</si>
  <si>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"УП България 3"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</si>
</sst>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90" zoomScaleNormal="90" workbookViewId="0">
      <selection activeCell="A14" sqref="A1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200310798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>
        <v>28</v>
      </c>
      <c r="D12" s="151">
        <v>29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5811</v>
      </c>
      <c r="D13" s="151">
        <v>5957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5843</v>
      </c>
      <c r="D19" s="155">
        <f>SUM(D11:D18)</f>
        <v>5990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471</v>
      </c>
      <c r="D23" s="151">
        <v>484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471</v>
      </c>
      <c r="D27" s="155">
        <f>SUM(D23:D26)</f>
        <v>484</v>
      </c>
      <c r="E27" s="253" t="s">
        <v>83</v>
      </c>
      <c r="F27" s="242" t="s">
        <v>84</v>
      </c>
      <c r="G27" s="154">
        <f>SUM(G28:G30)</f>
        <v>1515</v>
      </c>
      <c r="H27" s="154">
        <f>SUM(H28:H30)</f>
        <v>1173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1518</v>
      </c>
      <c r="H28" s="152">
        <v>1176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</v>
      </c>
      <c r="H29" s="316">
        <v>-3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198</v>
      </c>
      <c r="H31" s="152">
        <v>342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1713</v>
      </c>
      <c r="H33" s="154">
        <f>H27+H31+H32</f>
        <v>1515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1718</v>
      </c>
      <c r="H36" s="154">
        <f>H25+H17+H33</f>
        <v>1520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64</v>
      </c>
      <c r="H51" s="152">
        <v>64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6317</v>
      </c>
      <c r="D55" s="155">
        <f>D19+D20+D21+D27+D32+D45+D51+D53+D54</f>
        <v>6477</v>
      </c>
      <c r="E55" s="237" t="s">
        <v>172</v>
      </c>
      <c r="F55" s="261" t="s">
        <v>173</v>
      </c>
      <c r="G55" s="154">
        <f>G49+G51+G52+G53+G54</f>
        <v>102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4866</v>
      </c>
      <c r="H61" s="154">
        <f>SUM(H62:H68)</f>
        <v>5265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4793</v>
      </c>
      <c r="H62" s="152">
        <v>5067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41</v>
      </c>
      <c r="H64" s="152">
        <v>155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269</v>
      </c>
      <c r="D68" s="151">
        <v>198</v>
      </c>
      <c r="E68" s="237" t="s">
        <v>213</v>
      </c>
      <c r="F68" s="242" t="s">
        <v>214</v>
      </c>
      <c r="G68" s="152">
        <v>32</v>
      </c>
      <c r="H68" s="152">
        <v>43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4869</v>
      </c>
      <c r="H71" s="161">
        <f>H59+H60+H61+H69+H70</f>
        <v>5269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269</v>
      </c>
      <c r="D75" s="155">
        <f>SUM(D67:D74)</f>
        <v>198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4869</v>
      </c>
      <c r="H79" s="162">
        <f>H71+H74+H75+H76</f>
        <v>5269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56</v>
      </c>
      <c r="D88" s="151">
        <v>110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56</v>
      </c>
      <c r="D91" s="155">
        <f>SUM(D87:D90)</f>
        <v>110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372</v>
      </c>
      <c r="D93" s="155">
        <f>D64+D75+D84+D91+D92</f>
        <v>410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6689</v>
      </c>
      <c r="D94" s="164">
        <f>D93+D55</f>
        <v>6887</v>
      </c>
      <c r="E94" s="449" t="s">
        <v>270</v>
      </c>
      <c r="F94" s="289" t="s">
        <v>271</v>
      </c>
      <c r="G94" s="165">
        <f>G36+G39+G55+G79</f>
        <v>6689</v>
      </c>
      <c r="H94" s="165">
        <f>H36+H39+H55+H79</f>
        <v>6887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6"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"УП България 3"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200310798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3</v>
      </c>
      <c r="D9" s="46">
        <v>3</v>
      </c>
      <c r="E9" s="298" t="s">
        <v>285</v>
      </c>
      <c r="F9" s="549" t="s">
        <v>286</v>
      </c>
      <c r="G9" s="550">
        <v>661</v>
      </c>
      <c r="H9" s="550">
        <v>792</v>
      </c>
    </row>
    <row r="10" spans="1:18">
      <c r="A10" s="298" t="s">
        <v>287</v>
      </c>
      <c r="B10" s="299" t="s">
        <v>288</v>
      </c>
      <c r="C10" s="46">
        <v>198</v>
      </c>
      <c r="D10" s="46">
        <v>187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173</v>
      </c>
      <c r="D11" s="46">
        <v>172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661</v>
      </c>
      <c r="H13" s="548">
        <f>SUM(H9:H12)</f>
        <v>792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28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402</v>
      </c>
      <c r="D19" s="49">
        <f>SUM(D9:D15)+D16</f>
        <v>362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39</v>
      </c>
      <c r="D22" s="46">
        <v>103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39</v>
      </c>
      <c r="D26" s="49">
        <f>SUM(D22:D25)</f>
        <v>103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441</v>
      </c>
      <c r="D28" s="50">
        <f>D26+D19</f>
        <v>465</v>
      </c>
      <c r="E28" s="127" t="s">
        <v>339</v>
      </c>
      <c r="F28" s="554" t="s">
        <v>340</v>
      </c>
      <c r="G28" s="548">
        <f>G13+G15+G24</f>
        <v>661</v>
      </c>
      <c r="H28" s="548">
        <f>H13+H15+H24</f>
        <v>792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220</v>
      </c>
      <c r="D30" s="50">
        <f>IF((H28-D28)&gt;0,H28-D28,0)</f>
        <v>327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441</v>
      </c>
      <c r="D33" s="49">
        <f>D28-D31+D32</f>
        <v>465</v>
      </c>
      <c r="E33" s="127" t="s">
        <v>353</v>
      </c>
      <c r="F33" s="554" t="s">
        <v>354</v>
      </c>
      <c r="G33" s="53">
        <f>G32-G31+G28</f>
        <v>661</v>
      </c>
      <c r="H33" s="53">
        <f>H32-H31+H28</f>
        <v>792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220</v>
      </c>
      <c r="D34" s="50">
        <f>IF((H33-D33)&gt;0,H33-D33,0)</f>
        <v>327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22</v>
      </c>
      <c r="D35" s="49">
        <f>D36+D37+D38</f>
        <v>33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22</v>
      </c>
      <c r="D36" s="46">
        <v>33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198</v>
      </c>
      <c r="D39" s="460">
        <f>+IF((H33-D33-D35)&gt;0,H33-D33-D35,0)</f>
        <v>294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198</v>
      </c>
      <c r="D41" s="52">
        <f>IF(H39=0,IF(D39-D40&gt;0,D39-D40+H40,0),IF(H39-H40&lt;0,H40-H39+D39,0))</f>
        <v>294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661</v>
      </c>
      <c r="D42" s="53">
        <f>D33+D35+D39</f>
        <v>792</v>
      </c>
      <c r="E42" s="128" t="s">
        <v>380</v>
      </c>
      <c r="F42" s="129" t="s">
        <v>381</v>
      </c>
      <c r="G42" s="53">
        <f>G39+G33</f>
        <v>661</v>
      </c>
      <c r="H42" s="53">
        <f>H39+H33</f>
        <v>792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"УП България 3" ЕООД</v>
      </c>
      <c r="C4" s="541" t="s">
        <v>2</v>
      </c>
      <c r="D4" s="541">
        <f>'справка №1-БАЛАНС'!H3</f>
        <v>200310798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585</v>
      </c>
      <c r="D10" s="54">
        <v>922</v>
      </c>
      <c r="E10" s="130"/>
      <c r="F10" s="130"/>
    </row>
    <row r="11" spans="1:13">
      <c r="A11" s="332" t="s">
        <v>390</v>
      </c>
      <c r="B11" s="333" t="s">
        <v>391</v>
      </c>
      <c r="C11" s="54">
        <f>1-60-116</f>
        <v>-175</v>
      </c>
      <c r="D11" s="54">
        <v>-49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-126</v>
      </c>
      <c r="D14" s="54">
        <v>-122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-14</v>
      </c>
      <c r="D15" s="54">
        <v>-7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269</v>
      </c>
      <c r="D20" s="55">
        <f>SUM(D10:D19)</f>
        <v>741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-310</v>
      </c>
      <c r="D37" s="54">
        <v>-738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-310</v>
      </c>
      <c r="D42" s="55">
        <f>SUM(D34:D41)</f>
        <v>-738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-54</v>
      </c>
      <c r="D43" s="55">
        <f>D42+D32+D20</f>
        <v>-14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110</v>
      </c>
      <c r="D44" s="132">
        <v>71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56</v>
      </c>
      <c r="D45" s="55">
        <f>D44+D43</f>
        <v>57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H14" sqref="H14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"УП България 3"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200310798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1518</v>
      </c>
      <c r="J11" s="58">
        <f>'справка №1-БАЛАНС'!H29+'справка №1-БАЛАНС'!H32</f>
        <v>-3</v>
      </c>
      <c r="K11" s="60"/>
      <c r="L11" s="344">
        <f>SUM(C11:K11)</f>
        <v>1520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1518</v>
      </c>
      <c r="J15" s="61">
        <f t="shared" si="2"/>
        <v>-3</v>
      </c>
      <c r="K15" s="61">
        <f t="shared" si="2"/>
        <v>0</v>
      </c>
      <c r="L15" s="344">
        <f t="shared" si="1"/>
        <v>1520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198</v>
      </c>
      <c r="J16" s="345">
        <f>+'справка №1-БАЛАНС'!G32</f>
        <v>0</v>
      </c>
      <c r="K16" s="60"/>
      <c r="L16" s="344">
        <f t="shared" si="1"/>
        <v>198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1716</v>
      </c>
      <c r="J29" s="59">
        <f t="shared" si="6"/>
        <v>-3</v>
      </c>
      <c r="K29" s="59">
        <f t="shared" si="6"/>
        <v>0</v>
      </c>
      <c r="L29" s="344">
        <f t="shared" si="1"/>
        <v>1718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1716</v>
      </c>
      <c r="J32" s="59">
        <f t="shared" si="7"/>
        <v>-3</v>
      </c>
      <c r="K32" s="59">
        <f t="shared" si="7"/>
        <v>0</v>
      </c>
      <c r="L32" s="344">
        <f t="shared" si="1"/>
        <v>1718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C1" workbookViewId="0">
      <selection activeCell="Q21" sqref="Q2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"УП България 3"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200310798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37</v>
      </c>
      <c r="E10" s="189"/>
      <c r="F10" s="189"/>
      <c r="G10" s="74">
        <f t="shared" ref="G10:G39" si="2">D10+E10-F10</f>
        <v>37</v>
      </c>
      <c r="H10" s="65"/>
      <c r="I10" s="65"/>
      <c r="J10" s="74">
        <f t="shared" ref="J10:J39" si="3">G10+H10-I10</f>
        <v>37</v>
      </c>
      <c r="K10" s="65">
        <v>9</v>
      </c>
      <c r="L10" s="65">
        <v>1</v>
      </c>
      <c r="M10" s="65"/>
      <c r="N10" s="74">
        <f t="shared" ref="N10:N39" si="4">K10+L10-M10</f>
        <v>10</v>
      </c>
      <c r="O10" s="65"/>
      <c r="P10" s="65"/>
      <c r="Q10" s="74">
        <f t="shared" si="0"/>
        <v>10</v>
      </c>
      <c r="R10" s="74">
        <f t="shared" si="1"/>
        <v>27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8098</v>
      </c>
      <c r="E11" s="189">
        <v>13</v>
      </c>
      <c r="F11" s="189"/>
      <c r="G11" s="74">
        <f t="shared" si="2"/>
        <v>8111</v>
      </c>
      <c r="H11" s="65"/>
      <c r="I11" s="65"/>
      <c r="J11" s="74">
        <f t="shared" si="3"/>
        <v>8111</v>
      </c>
      <c r="K11" s="65">
        <v>2140</v>
      </c>
      <c r="L11" s="65">
        <v>159</v>
      </c>
      <c r="M11" s="65"/>
      <c r="N11" s="74">
        <f t="shared" si="4"/>
        <v>2299</v>
      </c>
      <c r="O11" s="65"/>
      <c r="P11" s="65"/>
      <c r="Q11" s="74">
        <f t="shared" si="0"/>
        <v>2299</v>
      </c>
      <c r="R11" s="74">
        <f t="shared" si="1"/>
        <v>5812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</v>
      </c>
      <c r="E16" s="189"/>
      <c r="F16" s="189"/>
      <c r="G16" s="74">
        <f t="shared" si="2"/>
        <v>1</v>
      </c>
      <c r="H16" s="65"/>
      <c r="I16" s="65"/>
      <c r="J16" s="74">
        <f t="shared" si="3"/>
        <v>1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8139</v>
      </c>
      <c r="E17" s="194">
        <f>SUM(E9:E16)</f>
        <v>13</v>
      </c>
      <c r="F17" s="194">
        <f>SUM(F9:F16)</f>
        <v>0</v>
      </c>
      <c r="G17" s="74">
        <f t="shared" si="2"/>
        <v>8152</v>
      </c>
      <c r="H17" s="75">
        <f>SUM(H9:H16)</f>
        <v>0</v>
      </c>
      <c r="I17" s="75">
        <f>SUM(I9:I16)</f>
        <v>0</v>
      </c>
      <c r="J17" s="74">
        <f t="shared" si="3"/>
        <v>8152</v>
      </c>
      <c r="K17" s="75">
        <f>SUM(K9:K16)</f>
        <v>2149</v>
      </c>
      <c r="L17" s="75">
        <f>SUM(L9:L16)</f>
        <v>160</v>
      </c>
      <c r="M17" s="75">
        <f>SUM(M9:M16)</f>
        <v>0</v>
      </c>
      <c r="N17" s="74">
        <f t="shared" si="4"/>
        <v>2309</v>
      </c>
      <c r="O17" s="75">
        <f>SUM(O9:O16)</f>
        <v>0</v>
      </c>
      <c r="P17" s="75">
        <f>SUM(P9:P16)</f>
        <v>0</v>
      </c>
      <c r="Q17" s="74">
        <f t="shared" si="5"/>
        <v>2309</v>
      </c>
      <c r="R17" s="74">
        <f t="shared" si="6"/>
        <v>5843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635</v>
      </c>
      <c r="E21" s="189"/>
      <c r="F21" s="189"/>
      <c r="G21" s="74">
        <f t="shared" si="2"/>
        <v>635</v>
      </c>
      <c r="H21" s="65"/>
      <c r="I21" s="65"/>
      <c r="J21" s="74">
        <f t="shared" si="3"/>
        <v>635</v>
      </c>
      <c r="K21" s="65">
        <v>151</v>
      </c>
      <c r="L21" s="65">
        <v>13</v>
      </c>
      <c r="M21" s="65"/>
      <c r="N21" s="74">
        <f t="shared" si="4"/>
        <v>164</v>
      </c>
      <c r="O21" s="65"/>
      <c r="P21" s="65"/>
      <c r="Q21" s="74">
        <f t="shared" si="5"/>
        <v>164</v>
      </c>
      <c r="R21" s="74">
        <f t="shared" si="6"/>
        <v>471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635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635</v>
      </c>
      <c r="H25" s="66">
        <f t="shared" si="7"/>
        <v>0</v>
      </c>
      <c r="I25" s="66">
        <f t="shared" si="7"/>
        <v>0</v>
      </c>
      <c r="J25" s="67">
        <f t="shared" si="3"/>
        <v>635</v>
      </c>
      <c r="K25" s="66">
        <f t="shared" si="7"/>
        <v>151</v>
      </c>
      <c r="L25" s="66">
        <f t="shared" si="7"/>
        <v>13</v>
      </c>
      <c r="M25" s="66">
        <f t="shared" si="7"/>
        <v>0</v>
      </c>
      <c r="N25" s="67">
        <f t="shared" si="4"/>
        <v>164</v>
      </c>
      <c r="O25" s="66">
        <f t="shared" si="7"/>
        <v>0</v>
      </c>
      <c r="P25" s="66">
        <f t="shared" si="7"/>
        <v>0</v>
      </c>
      <c r="Q25" s="67">
        <f t="shared" si="5"/>
        <v>164</v>
      </c>
      <c r="R25" s="67">
        <f t="shared" si="6"/>
        <v>471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8774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8787</v>
      </c>
      <c r="H40" s="438">
        <f t="shared" si="13"/>
        <v>0</v>
      </c>
      <c r="I40" s="438">
        <f t="shared" si="13"/>
        <v>0</v>
      </c>
      <c r="J40" s="438">
        <f t="shared" si="13"/>
        <v>8787</v>
      </c>
      <c r="K40" s="438">
        <f t="shared" si="13"/>
        <v>2300</v>
      </c>
      <c r="L40" s="438">
        <f t="shared" si="13"/>
        <v>173</v>
      </c>
      <c r="M40" s="438">
        <f t="shared" si="13"/>
        <v>0</v>
      </c>
      <c r="N40" s="438">
        <f t="shared" si="13"/>
        <v>2473</v>
      </c>
      <c r="O40" s="438">
        <f t="shared" si="13"/>
        <v>0</v>
      </c>
      <c r="P40" s="438">
        <f t="shared" si="13"/>
        <v>0</v>
      </c>
      <c r="Q40" s="438">
        <f t="shared" si="13"/>
        <v>2473</v>
      </c>
      <c r="R40" s="438">
        <f t="shared" si="13"/>
        <v>6314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D94" sqref="D9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"УП България 3" ЕООД</v>
      </c>
      <c r="C3" s="619"/>
      <c r="D3" s="526" t="s">
        <v>2</v>
      </c>
      <c r="E3" s="107">
        <f>'справка №1-БАЛАНС'!H3</f>
        <v>200310798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269</v>
      </c>
      <c r="D28" s="108">
        <v>269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269</v>
      </c>
      <c r="D43" s="104">
        <f>D24+D28+D29+D31+D30+D32+D33+D38</f>
        <v>269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272</v>
      </c>
      <c r="D44" s="103">
        <f>D43+D21+D19+D9</f>
        <v>272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64</v>
      </c>
      <c r="D64" s="108"/>
      <c r="E64" s="119">
        <f t="shared" si="1"/>
        <v>64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64</v>
      </c>
      <c r="D66" s="103">
        <f>D52+D56+D61+D62+D63+D64</f>
        <v>0</v>
      </c>
      <c r="E66" s="119">
        <f t="shared" si="1"/>
        <v>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4793</v>
      </c>
      <c r="D71" s="105">
        <f>SUM(D72:D74)</f>
        <v>4793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4793</v>
      </c>
      <c r="D74" s="108">
        <v>4793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73</v>
      </c>
      <c r="D85" s="104">
        <f>SUM(D86:D90)+D94</f>
        <v>73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41</v>
      </c>
      <c r="D87" s="108">
        <v>41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32</v>
      </c>
      <c r="D90" s="103">
        <f>SUM(D91:D93)</f>
        <v>32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18</v>
      </c>
      <c r="D91" s="108">
        <v>18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4866</v>
      </c>
      <c r="D96" s="104">
        <f>D85+D80+D75+D71+D95</f>
        <v>4866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4968</v>
      </c>
      <c r="D97" s="104">
        <f>D96+D68+D66</f>
        <v>4866</v>
      </c>
      <c r="E97" s="104">
        <f>E96+E68+E66</f>
        <v>102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>
        <v>1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1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"УП България 3"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200310798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"УП България 3" ЕООД</v>
      </c>
      <c r="C5" s="627"/>
      <c r="D5" s="627"/>
      <c r="E5" s="570" t="s">
        <v>2</v>
      </c>
      <c r="F5" s="451">
        <f>'справка №1-БАЛАНС'!H3</f>
        <v>200310798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2016-07-22T08:23:58Z</cp:lastPrinted>
  <dcterms:created xsi:type="dcterms:W3CDTF">2000-06-29T12:02:40Z</dcterms:created>
  <dcterms:modified xsi:type="dcterms:W3CDTF">2016-07-29T07:29:50Z</dcterms:modified>
</cp:coreProperties>
</file>