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205" windowWidth="10800" windowHeight="3990" tabRatio="65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G64" i="1" l="1"/>
  <c r="C72" i="1"/>
  <c r="G66" i="1" l="1"/>
  <c r="G60" i="1"/>
  <c r="C14" i="3"/>
  <c r="G24" i="1"/>
  <c r="D19" i="3"/>
  <c r="D13" i="3"/>
  <c r="C13" i="3"/>
  <c r="D10" i="3"/>
  <c r="C10" i="3"/>
  <c r="H64" i="1"/>
  <c r="H60" i="1"/>
  <c r="H66" i="1"/>
  <c r="C88" i="1" l="1"/>
  <c r="C68" i="1"/>
  <c r="C26" i="1" l="1"/>
  <c r="C16" i="1"/>
  <c r="C15" i="1"/>
  <c r="C19" i="2" l="1"/>
  <c r="H27" i="1"/>
  <c r="H33" i="1" s="1"/>
  <c r="G27" i="1"/>
  <c r="G33" i="1" s="1"/>
  <c r="H21" i="1"/>
  <c r="H25" i="1" s="1"/>
  <c r="G21" i="1"/>
  <c r="G25" i="1" s="1"/>
  <c r="H17" i="1"/>
  <c r="C11" i="4" s="1"/>
  <c r="G17" i="1"/>
  <c r="C39" i="1"/>
  <c r="C34" i="1"/>
  <c r="C45" i="1" s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45" i="1" s="1"/>
  <c r="D39" i="1"/>
  <c r="D51" i="1"/>
  <c r="G61" i="1"/>
  <c r="G71" i="1" s="1"/>
  <c r="G79" i="1" s="1"/>
  <c r="G49" i="1"/>
  <c r="G55" i="1" s="1"/>
  <c r="C32" i="1"/>
  <c r="C27" i="1"/>
  <c r="C51" i="1"/>
  <c r="C75" i="1"/>
  <c r="C64" i="1"/>
  <c r="C78" i="1"/>
  <c r="C84" i="1"/>
  <c r="C91" i="1"/>
  <c r="H13" i="2"/>
  <c r="H24" i="2"/>
  <c r="D26" i="2"/>
  <c r="D19" i="2"/>
  <c r="D35" i="2"/>
  <c r="G13" i="2"/>
  <c r="G24" i="2"/>
  <c r="G28" i="2" s="1"/>
  <c r="G33" i="2" s="1"/>
  <c r="C26" i="2"/>
  <c r="C28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D15" i="4" s="1"/>
  <c r="E11" i="4"/>
  <c r="E15" i="4" s="1"/>
  <c r="E29" i="4" s="1"/>
  <c r="E32" i="4" s="1"/>
  <c r="E12" i="4"/>
  <c r="E17" i="4"/>
  <c r="E21" i="4"/>
  <c r="E24" i="4"/>
  <c r="F11" i="4"/>
  <c r="F15" i="4" s="1"/>
  <c r="F12" i="4"/>
  <c r="F21" i="4"/>
  <c r="L21" i="4" s="1"/>
  <c r="F24" i="4"/>
  <c r="G11" i="4"/>
  <c r="G15" i="4" s="1"/>
  <c r="G12" i="4"/>
  <c r="G17" i="4"/>
  <c r="G21" i="4"/>
  <c r="G24" i="4"/>
  <c r="H12" i="4"/>
  <c r="H15" i="4"/>
  <c r="H17" i="4"/>
  <c r="H21" i="4"/>
  <c r="H24" i="4"/>
  <c r="I16" i="4"/>
  <c r="I11" i="4"/>
  <c r="I15" i="4" s="1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C21" i="4"/>
  <c r="C24" i="4"/>
  <c r="L13" i="4"/>
  <c r="L14" i="4"/>
  <c r="L16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G25" i="5" s="1"/>
  <c r="J25" i="5" s="1"/>
  <c r="D27" i="5"/>
  <c r="D38" i="5" s="1"/>
  <c r="D32" i="5"/>
  <c r="E17" i="5"/>
  <c r="E25" i="5"/>
  <c r="E27" i="5"/>
  <c r="E32" i="5"/>
  <c r="G32" i="5" s="1"/>
  <c r="J32" i="5" s="1"/>
  <c r="F17" i="5"/>
  <c r="F25" i="5"/>
  <c r="F27" i="5"/>
  <c r="F32" i="5"/>
  <c r="F38" i="5" s="1"/>
  <c r="G18" i="5"/>
  <c r="G19" i="5"/>
  <c r="J19" i="5" s="1"/>
  <c r="H17" i="5"/>
  <c r="H25" i="5"/>
  <c r="H27" i="5"/>
  <c r="H38" i="5" s="1"/>
  <c r="H40" i="5" s="1"/>
  <c r="H32" i="5"/>
  <c r="I17" i="5"/>
  <c r="I25" i="5"/>
  <c r="I27" i="5"/>
  <c r="I32" i="5"/>
  <c r="J18" i="5"/>
  <c r="K17" i="5"/>
  <c r="K25" i="5"/>
  <c r="K27" i="5"/>
  <c r="K32" i="5"/>
  <c r="L17" i="5"/>
  <c r="L25" i="5"/>
  <c r="L27" i="5"/>
  <c r="L32" i="5"/>
  <c r="L38" i="5" s="1"/>
  <c r="M17" i="5"/>
  <c r="M25" i="5"/>
  <c r="M27" i="5"/>
  <c r="M38" i="5" s="1"/>
  <c r="M32" i="5"/>
  <c r="N18" i="5"/>
  <c r="Q18" i="5" s="1"/>
  <c r="R18" i="5" s="1"/>
  <c r="N19" i="5"/>
  <c r="O17" i="5"/>
  <c r="O25" i="5"/>
  <c r="O27" i="5"/>
  <c r="O38" i="5" s="1"/>
  <c r="O32" i="5"/>
  <c r="P17" i="5"/>
  <c r="P25" i="5"/>
  <c r="P27" i="5"/>
  <c r="P38" i="5" s="1"/>
  <c r="P40" i="5" s="1"/>
  <c r="P32" i="5"/>
  <c r="Q19" i="5"/>
  <c r="N28" i="5"/>
  <c r="Q28" i="5" s="1"/>
  <c r="G28" i="5"/>
  <c r="J28" i="5" s="1"/>
  <c r="R28" i="5" s="1"/>
  <c r="N29" i="5"/>
  <c r="Q29" i="5" s="1"/>
  <c r="G29" i="5"/>
  <c r="J29" i="5" s="1"/>
  <c r="N30" i="5"/>
  <c r="Q30" i="5"/>
  <c r="G30" i="5"/>
  <c r="J30" i="5" s="1"/>
  <c r="N31" i="5"/>
  <c r="Q31" i="5" s="1"/>
  <c r="G31" i="5"/>
  <c r="J31" i="5"/>
  <c r="N33" i="5"/>
  <c r="Q33" i="5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R36" i="5" s="1"/>
  <c r="N37" i="5"/>
  <c r="Q37" i="5"/>
  <c r="G37" i="5"/>
  <c r="J37" i="5" s="1"/>
  <c r="G20" i="5"/>
  <c r="G21" i="5"/>
  <c r="J21" i="5" s="1"/>
  <c r="G22" i="5"/>
  <c r="J22" i="5" s="1"/>
  <c r="G23" i="5"/>
  <c r="G24" i="5"/>
  <c r="J24" i="5" s="1"/>
  <c r="G27" i="5"/>
  <c r="G16" i="5"/>
  <c r="J16" i="5" s="1"/>
  <c r="J20" i="5"/>
  <c r="J23" i="5"/>
  <c r="N20" i="5"/>
  <c r="Q20" i="5" s="1"/>
  <c r="N21" i="5"/>
  <c r="Q21" i="5" s="1"/>
  <c r="N22" i="5"/>
  <c r="Q22" i="5" s="1"/>
  <c r="N23" i="5"/>
  <c r="N24" i="5"/>
  <c r="Q24" i="5" s="1"/>
  <c r="N16" i="5"/>
  <c r="Q16" i="5" s="1"/>
  <c r="Q23" i="5"/>
  <c r="G10" i="5"/>
  <c r="J10" i="5" s="1"/>
  <c r="G11" i="5"/>
  <c r="J11" i="5" s="1"/>
  <c r="G12" i="5"/>
  <c r="J12" i="5" s="1"/>
  <c r="G13" i="5"/>
  <c r="J13" i="5" s="1"/>
  <c r="G14" i="5"/>
  <c r="J14" i="5" s="1"/>
  <c r="G9" i="5"/>
  <c r="N10" i="5"/>
  <c r="Q10" i="5" s="1"/>
  <c r="N11" i="5"/>
  <c r="Q11" i="5" s="1"/>
  <c r="N12" i="5"/>
  <c r="Q12" i="5" s="1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1" i="6" s="1"/>
  <c r="E73" i="6"/>
  <c r="E74" i="6"/>
  <c r="D71" i="6"/>
  <c r="F75" i="6"/>
  <c r="E76" i="6"/>
  <c r="E75" i="6" s="1"/>
  <c r="E78" i="6"/>
  <c r="D75" i="6"/>
  <c r="F80" i="6"/>
  <c r="E81" i="6"/>
  <c r="E82" i="6"/>
  <c r="E83" i="6"/>
  <c r="E84" i="6"/>
  <c r="E80" i="6" s="1"/>
  <c r="D80" i="6"/>
  <c r="F90" i="6"/>
  <c r="F85" i="6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C52" i="6"/>
  <c r="D56" i="6"/>
  <c r="D52" i="6"/>
  <c r="D66" i="6" s="1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1" i="6" s="1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42" i="6"/>
  <c r="E40" i="6"/>
  <c r="E39" i="6"/>
  <c r="E38" i="6" s="1"/>
  <c r="E41" i="6"/>
  <c r="E32" i="6"/>
  <c r="E21" i="6"/>
  <c r="C11" i="6"/>
  <c r="C33" i="6"/>
  <c r="C43" i="6" s="1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 s="1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14" i="8" s="1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61" i="8" s="1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44" i="8" s="1"/>
  <c r="F30" i="8"/>
  <c r="F29" i="8"/>
  <c r="F13" i="8"/>
  <c r="F14" i="8"/>
  <c r="F27" i="8" s="1"/>
  <c r="F15" i="8"/>
  <c r="F16" i="8"/>
  <c r="F17" i="8"/>
  <c r="F18" i="8"/>
  <c r="F20" i="8"/>
  <c r="F21" i="8"/>
  <c r="F22" i="8"/>
  <c r="F23" i="8"/>
  <c r="F24" i="8"/>
  <c r="F25" i="8"/>
  <c r="F26" i="8"/>
  <c r="C148" i="8"/>
  <c r="C149" i="8" s="1"/>
  <c r="C114" i="8"/>
  <c r="C97" i="8"/>
  <c r="F148" i="8"/>
  <c r="E148" i="8"/>
  <c r="E149" i="8" s="1"/>
  <c r="E131" i="8"/>
  <c r="E114" i="8"/>
  <c r="E97" i="8"/>
  <c r="C27" i="8"/>
  <c r="C78" i="8"/>
  <c r="C61" i="8"/>
  <c r="C44" i="8"/>
  <c r="C79" i="8" s="1"/>
  <c r="E78" i="8"/>
  <c r="E61" i="8"/>
  <c r="E44" i="8"/>
  <c r="E79" i="8" s="1"/>
  <c r="E27" i="8"/>
  <c r="E90" i="6" l="1"/>
  <c r="D96" i="6"/>
  <c r="D97" i="6" s="1"/>
  <c r="E33" i="6"/>
  <c r="D19" i="6"/>
  <c r="C19" i="6"/>
  <c r="E16" i="6"/>
  <c r="E19" i="6" s="1"/>
  <c r="E43" i="6"/>
  <c r="L40" i="5"/>
  <c r="D40" i="5"/>
  <c r="L17" i="4"/>
  <c r="C43" i="3"/>
  <c r="C45" i="3" s="1"/>
  <c r="H28" i="2"/>
  <c r="H33" i="2" s="1"/>
  <c r="L11" i="4"/>
  <c r="C15" i="4"/>
  <c r="C29" i="4" s="1"/>
  <c r="C32" i="4" s="1"/>
  <c r="C93" i="1"/>
  <c r="F97" i="6"/>
  <c r="F40" i="5"/>
  <c r="F97" i="8"/>
  <c r="I26" i="7"/>
  <c r="F105" i="6"/>
  <c r="R22" i="5"/>
  <c r="R37" i="5"/>
  <c r="R35" i="5"/>
  <c r="R33" i="5"/>
  <c r="R30" i="5"/>
  <c r="R39" i="5"/>
  <c r="L12" i="4"/>
  <c r="K29" i="4"/>
  <c r="K32" i="4" s="1"/>
  <c r="H29" i="4"/>
  <c r="H32" i="4" s="1"/>
  <c r="D28" i="2"/>
  <c r="D30" i="2" s="1"/>
  <c r="D55" i="1"/>
  <c r="F78" i="8"/>
  <c r="R16" i="5"/>
  <c r="R34" i="5"/>
  <c r="R19" i="5"/>
  <c r="I29" i="4"/>
  <c r="I32" i="4" s="1"/>
  <c r="D29" i="4"/>
  <c r="D32" i="4" s="1"/>
  <c r="F149" i="8"/>
  <c r="F131" i="8"/>
  <c r="D43" i="6"/>
  <c r="D44" i="6" s="1"/>
  <c r="R23" i="5"/>
  <c r="R24" i="5"/>
  <c r="R20" i="5"/>
  <c r="N17" i="5"/>
  <c r="Q17" i="5" s="1"/>
  <c r="M40" i="5"/>
  <c r="N27" i="5"/>
  <c r="Q27" i="5" s="1"/>
  <c r="E38" i="5"/>
  <c r="G17" i="5"/>
  <c r="J17" i="5" s="1"/>
  <c r="J15" i="4"/>
  <c r="M15" i="4"/>
  <c r="C44" i="6"/>
  <c r="C96" i="6"/>
  <c r="C66" i="6"/>
  <c r="E66" i="6" s="1"/>
  <c r="J27" i="5"/>
  <c r="R21" i="5"/>
  <c r="R31" i="5"/>
  <c r="R29" i="5"/>
  <c r="O40" i="5"/>
  <c r="N32" i="5"/>
  <c r="Q32" i="5" s="1"/>
  <c r="R32" i="5" s="1"/>
  <c r="N25" i="5"/>
  <c r="I38" i="5"/>
  <c r="I40" i="5" s="1"/>
  <c r="F29" i="4"/>
  <c r="F32" i="4" s="1"/>
  <c r="D43" i="3"/>
  <c r="D45" i="3" s="1"/>
  <c r="D93" i="1"/>
  <c r="G36" i="1"/>
  <c r="G94" i="1" s="1"/>
  <c r="E40" i="5"/>
  <c r="R15" i="5"/>
  <c r="G29" i="4"/>
  <c r="G32" i="4" s="1"/>
  <c r="M29" i="4"/>
  <c r="M32" i="4" s="1"/>
  <c r="D33" i="2"/>
  <c r="D39" i="2" s="1"/>
  <c r="H36" i="1"/>
  <c r="H94" i="1" s="1"/>
  <c r="R14" i="5"/>
  <c r="F79" i="8"/>
  <c r="E85" i="6"/>
  <c r="E96" i="6" s="1"/>
  <c r="R9" i="5"/>
  <c r="R13" i="5"/>
  <c r="R11" i="5"/>
  <c r="G38" i="5"/>
  <c r="J38" i="5" s="1"/>
  <c r="R12" i="5"/>
  <c r="R10" i="5"/>
  <c r="R27" i="5"/>
  <c r="Q25" i="5"/>
  <c r="R25" i="5" s="1"/>
  <c r="J29" i="4"/>
  <c r="J32" i="4" s="1"/>
  <c r="C30" i="2"/>
  <c r="G30" i="2"/>
  <c r="C33" i="2"/>
  <c r="C39" i="2" s="1"/>
  <c r="K38" i="5"/>
  <c r="N38" i="5" s="1"/>
  <c r="Q38" i="5" s="1"/>
  <c r="E44" i="6" l="1"/>
  <c r="H30" i="2"/>
  <c r="D34" i="2"/>
  <c r="D94" i="1"/>
  <c r="L15" i="4"/>
  <c r="Q40" i="5"/>
  <c r="E97" i="6"/>
  <c r="L32" i="4"/>
  <c r="C97" i="6"/>
  <c r="N40" i="5"/>
  <c r="R38" i="5"/>
  <c r="R17" i="5"/>
  <c r="R40" i="5" s="1"/>
  <c r="J40" i="5"/>
  <c r="L29" i="4"/>
  <c r="H34" i="2"/>
  <c r="H39" i="2" s="1"/>
  <c r="D42" i="2"/>
  <c r="K40" i="5"/>
  <c r="C42" i="2"/>
  <c r="G34" i="2"/>
  <c r="G40" i="5"/>
  <c r="C34" i="2"/>
  <c r="H42" i="2" l="1"/>
  <c r="D41" i="2"/>
  <c r="H41" i="2"/>
  <c r="G39" i="2"/>
  <c r="G42" i="2" l="1"/>
  <c r="C41" i="2"/>
  <c r="G41" i="2"/>
  <c r="C19" i="1"/>
  <c r="C55" i="1" s="1"/>
  <c r="C94" i="1" s="1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<sst xmlns="http://schemas.openxmlformats.org/spreadsheetml/2006/main" count="1061" uniqueCount="873">
  <si>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</si>
  <si>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</si>
  <si>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</si>
  <si>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</si>
  <si>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</si>
  <si>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</si>
  <si>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</si>
  <si>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</si>
  <si>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</si>
  <si>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</si>
  <si>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</si>
  <si>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</si>
  <si>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</si>
  <si>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</si>
  <si>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</si>
  <si>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</si>
  <si>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</si>
  <si>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</si>
  <si>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</si>
  <si>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</si>
  <si>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</si>
  <si>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</si>
  <si>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</si>
  <si>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</si>
  <si>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</si>
  <si>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</si>
  <si>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</si>
  <si>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</si>
  <si>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</si>
  <si>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</si>
  <si>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</si>
  <si>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</si>
  <si>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</si>
  <si>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</si>
  <si>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</si>
  <si>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</si>
  <si>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</si>
  <si>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</si>
  <si>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</si>
  <si>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</si>
  <si>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</si>
  <si>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</si>
  <si>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</si>
  <si>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</si>
  <si>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</si>
  <si>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</si>
  <si>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</si>
  <si>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</si>
  <si>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</si>
  <si>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</si>
  <si>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</si>
  <si>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</si>
  <si>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</si>
  <si>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</si>
  <si>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</si>
  <si>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</si>
  <si>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</si>
  <si>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</si>
  <si>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</si>
  <si>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</si>
  <si>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</si>
  <si>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</si>
  <si>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</si>
  <si>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</si>
  <si>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</si>
  <si>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</si>
  <si>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</si>
  <si>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</si>
  <si>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</si>
  <si>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</si>
  <si>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</si>
  <si>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</si>
  <si>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</si>
  <si>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</si>
  <si>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</si>
  <si>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</si>
  <si>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</si>
  <si>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</si>
  <si>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</si>
  <si>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</si>
  <si>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</si>
  <si>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</si>
  <si>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</si>
  <si>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</si>
  <si>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</si>
  <si>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</si>
  <si>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</si>
  <si>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</si>
  <si>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</si>
  <si>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</si>
  <si>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</si>
  <si>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</si>
  <si>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</si>
  <si>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</si>
  <si>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</si>
  <si>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</si>
  <si>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</si>
  <si>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</si>
  <si>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</si>
  <si>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</si>
  <si>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</si>
  <si>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</si>
  <si>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</si>
  <si>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</si>
  <si>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</si>
  <si>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</si>
  <si>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</si>
  <si>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</si>
  <si>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</si>
  <si>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</si>
  <si>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</si>
  <si>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</si>
  <si>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</si>
  <si>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</si>
  <si>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</si>
  <si>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</si>
  <si>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</si>
  <si>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</si>
  <si>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</si>
  <si>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</si>
  <si>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</si>
  <si>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</si>
  <si>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</si>
  <si>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</si>
  <si>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</si>
  <si>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</si>
  <si>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</si>
  <si>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</si>
  <si>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</si>
  <si>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</si>
  <si>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</si>
  <si>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</si>
  <si>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</si>
  <si>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</si>
  <si>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</si>
  <si>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</si>
  <si>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</si>
  <si>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</si>
  <si>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</si>
  <si>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</si>
  <si>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</si>
  <si>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</si>
  <si>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</si>
  <si>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</si>
  <si>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</si>
  <si>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</si>
  <si>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</si>
  <si>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</si>
  <si>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</si>
  <si>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</si>
  <si>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</si>
  <si>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</si>
  <si>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</si>
  <si>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</si>
  <si>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</si>
  <si>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</si>
  <si>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</si>
  <si>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</si>
  <si>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</si>
  <si>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</si>
  <si>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</si>
  <si>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</si>
  <si>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</si>
  <si>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</si>
  <si>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</si>
  <si>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</si>
  <si>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</si>
  <si>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</si>
  <si>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</si>
  <si>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</si>
  <si>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</si>
  <si>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</si>
  <si>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</si>
  <si>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</si>
  <si>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</si>
  <si>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</si>
  <si>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</si>
  <si>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</si>
  <si>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</si>
  <si>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</si>
  <si>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</si>
  <si>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</si>
  <si>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</si>
  <si>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</si>
  <si>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</si>
  <si>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</si>
  <si>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</si>
  <si>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</si>
  <si>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</si>
  <si>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</si>
  <si>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</si>
  <si>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</si>
  <si>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</si>
  <si>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</si>
  <si>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</si>
  <si>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</si>
  <si>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</si>
  <si>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</si>
  <si>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</si>
  <si>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</si>
  <si>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</si>
  <si>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</si>
  <si>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</si>
  <si>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</si>
  <si>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</si>
  <si>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</si>
  <si>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</si>
  <si>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</si>
  <si>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</si>
  <si>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</si>
  <si>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</si>
  <si>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</si>
  <si>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</si>
  <si>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</si>
  <si>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</si>
  <si>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</si>
  <si>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</si>
  <si>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</si>
  <si>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</si>
  <si>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</si>
  <si>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</si>
  <si>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</si>
  <si>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</si>
  <si>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</si>
  <si>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</si>
  <si>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</si>
  <si>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</si>
  <si>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</si>
  <si>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</si>
  <si>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</si>
  <si>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</si>
  <si>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</si>
  <si>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</si>
  <si>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</si>
  <si>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</si>
  <si>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</si>
  <si>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</si>
  <si>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</si>
  <si>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</si>
  <si>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</si>
  <si>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</si>
  <si>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</si>
  <si>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</si>
  <si>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</si>
  <si>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</si>
  <si>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</si>
  <si>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</si>
  <si>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</si>
  <si>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</si>
  <si>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</si>
  <si>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</si>
  <si>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</si>
  <si>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</si>
  <si>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</si>
  <si>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</si>
  <si>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</si>
  <si>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</si>
  <si>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</si>
  <si>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</si>
  <si>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</si>
  <si>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</si>
  <si>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</si>
  <si>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</si>
  <si>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</si>
  <si>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</si>
  <si>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</si>
  <si>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</si>
  <si>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</si>
  <si>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</si>
  <si>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</si>
  <si>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</si>
  <si>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</si>
  <si>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</si>
  <si>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</si>
  <si>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</si>
  <si>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</si>
  <si>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</si>
  <si>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</si>
  <si>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</si>
  <si>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</si>
  <si>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</si>
  <si>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</si>
  <si>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</si>
  <si>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</si>
  <si>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</si>
  <si>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</si>
  <si>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</si>
  <si>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</si>
  <si>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</si>
  <si>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</si>
  <si>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</si>
  <si>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</si>
  <si>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</si>
  <si>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</si>
  <si>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</si>
  <si>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</si>
  <si>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</si>
  <si>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</si>
  <si>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</si>
  <si>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</si>
  <si>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</si>
  <si>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</si>
  <si>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</si>
  <si>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</si>
  <si>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</si>
  <si>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</si>
  <si>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</si>
  <si>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</si>
  <si>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</si>
  <si>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</si>
  <si>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</si>
  <si>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</si>
  <si>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</si>
  <si>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</si>
  <si>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</si>
  <si>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</si>
  <si>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</si>
  <si>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</si>
  <si>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</si>
  <si>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</si>
  <si>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</si>
  <si>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</si>
  <si>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</si>
  <si>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</si>
  <si>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</si>
  <si>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</si>
  <si>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</si>
  <si>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</si>
  <si>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</si>
  <si>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</si>
  <si>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</si>
  <si>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</si>
  <si>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</si>
  <si>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</si>
  <si>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</si>
  <si>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</si>
  <si>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</si>
  <si>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</si>
  <si>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</si>
  <si>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</si>
  <si>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</si>
  <si>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</si>
  <si>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</si>
  <si>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</si>
  <si>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</si>
  <si>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</si>
  <si>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</si>
  <si>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</si>
  <si>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</si>
  <si>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</si>
  <si>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</si>
  <si>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</si>
  <si>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</si>
  <si>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</si>
  <si>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</si>
  <si>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</si>
  <si>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</si>
  <si>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</si>
  <si>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</si>
  <si>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</si>
  <si>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</si>
  <si>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</si>
  <si>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</si>
  <si>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</si>
  <si>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</si>
  <si>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</si>
  <si>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</si>
  <si>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</si>
  <si>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</si>
  <si>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</si>
  <si>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</si>
  <si>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</si>
  <si>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</si>
  <si>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</si>
  <si>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</si>
  <si>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</si>
  <si>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</si>
  <si>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</si>
  <si>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</si>
  <si>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</si>
  <si>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</si>
  <si>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</si>
  <si>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</si>
  <si>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</si>
  <si>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</si>
  <si>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</si>
  <si>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</si>
  <si>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</si>
  <si>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</si>
  <si>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</si>
  <si>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</si>
  <si>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</si>
  <si>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</si>
  <si>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</si>
  <si>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</si>
  <si>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</si>
  <si>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</si>
  <si>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</si>
  <si>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</si>
  <si>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</si>
  <si>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</si>
  <si>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</si>
  <si>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</si>
  <si>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</si>
  <si>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</si>
  <si>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</si>
  <si>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</si>
  <si>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</si>
  <si>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</si>
  <si>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</si>
  <si>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</si>
  <si>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</si>
  <si>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</si>
  <si>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</si>
  <si>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</si>
  <si>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</si>
  <si>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</si>
  <si>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</si>
  <si>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</si>
  <si>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</si>
  <si>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</si>
  <si>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</si>
  <si>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</si>
  <si>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</si>
  <si>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</si>
  <si>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</si>
  <si>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</si>
  <si>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</si>
  <si>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</si>
  <si>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</si>
  <si>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</si>
  <si>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</si>
  <si>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</si>
  <si>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</si>
  <si>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</si>
  <si>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</si>
  <si>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</si>
  <si>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</si>
  <si>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</si>
  <si>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</si>
  <si>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</si>
  <si>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</si>
  <si>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</si>
  <si>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</si>
  <si>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</si>
  <si>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</si>
  <si>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</si>
  <si>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</si>
  <si>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</si>
  <si>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</si>
  <si>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</si>
  <si>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</si>
  <si>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</si>
  <si>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</si>
  <si>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</si>
  <si>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</si>
  <si>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</si>
  <si>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</si>
  <si>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</si>
  <si>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</si>
  <si>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</si>
  <si>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</si>
  <si>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</si>
  <si>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</si>
  <si>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</si>
  <si>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</si>
  <si>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</si>
  <si>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</si>
  <si>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</si>
  <si>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</si>
  <si>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</si>
  <si>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</si>
  <si>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</si>
  <si>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</si>
  <si>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</si>
  <si>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</si>
  <si>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</si>
  <si>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</si>
  <si>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</si>
  <si>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</si>
  <si>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</si>
  <si>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</si>
  <si>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</si>
  <si>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</si>
  <si>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</si>
  <si>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</si>
  <si>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</si>
  <si>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</si>
  <si>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</si>
  <si>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</si>
  <si>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</si>
  <si>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</si>
  <si>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</si>
  <si>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</si>
  <si>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</si>
  <si>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</si>
  <si>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</si>
  <si>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</si>
  <si>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</si>
  <si>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</si>
  <si>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</si>
  <si>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</si>
  <si>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</si>
  <si>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</si>
  <si>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</si>
  <si>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</si>
  <si>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</si>
  <si>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</si>
  <si>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</si>
  <si>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</si>
  <si>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</si>
  <si>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</si>
  <si>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</si>
  <si>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</si>
  <si>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</si>
  <si>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</si>
  <si>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</si>
  <si>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</si>
  <si>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</si>
  <si>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</si>
  <si>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</si>
  <si>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</si>
  <si>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</si>
  <si>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</si>
  <si>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</si>
  <si>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</si>
  <si>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</si>
  <si>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</si>
  <si>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</si>
  <si>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</si>
  <si>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</si>
  <si>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</si>
  <si>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</si>
  <si>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</si>
  <si>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</si>
  <si>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</si>
  <si>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</si>
  <si>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</si>
  <si>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</si>
  <si>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</si>
  <si>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</si>
  <si>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</si>
  <si>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</si>
  <si>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</si>
  <si>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</si>
  <si>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</si>
  <si>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</si>
  <si>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</si>
  <si>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</si>
  <si>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</si>
  <si>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</si>
  <si>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</si>
  <si>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</si>
  <si>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</si>
  <si>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</si>
  <si>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</si>
  <si>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</si>
  <si>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</si>
  <si>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</si>
  <si>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</si>
  <si>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</si>
  <si>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</si>
  <si>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</si>
  <si>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</si>
  <si>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</si>
  <si>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</si>
  <si>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</si>
  <si>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</si>
  <si>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</si>
  <si>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</si>
  <si>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</si>
  <si>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</si>
  <si>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</si>
  <si>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</si>
  <si>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</si>
  <si>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</si>
  <si>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</si>
  <si>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</si>
  <si>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</si>
  <si>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</si>
  <si>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</si>
  <si>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</si>
  <si>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</si>
  <si>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</si>
  <si>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</si>
  <si>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</si>
  <si>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</si>
  <si>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</si>
  <si>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</si>
  <si>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</si>
  <si>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</si>
  <si>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</si>
  <si>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</si>
  <si>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</si>
  <si>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</si>
  <si>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</si>
  <si>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</si>
  <si>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</si>
  <si>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</si>
  <si>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</si>
  <si>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</si>
  <si>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</si>
  <si>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</si>
  <si>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</si>
  <si>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</si>
  <si>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</si>
  <si>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</si>
  <si>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</si>
  <si>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</si>
  <si>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</si>
  <si>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</si>
  <si>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</si>
  <si>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</si>
  <si>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</si>
  <si>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</si>
  <si>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</si>
  <si>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</si>
  <si>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</si>
  <si>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</si>
  <si>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</si>
  <si>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</si>
  <si>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</si>
  <si>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</si>
  <si>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</si>
  <si>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</si>
  <si>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</si>
  <si>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</si>
  <si>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</si>
  <si>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</si>
  <si>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</si>
  <si>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</si>
  <si>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</si>
  <si>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</si>
  <si>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</si>
  <si>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</si>
  <si>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</si>
  <si>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</si>
  <si>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</si>
  <si>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</si>
  <si>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</si>
  <si>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</si>
  <si>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</si>
  <si>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</si>
  <si>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</si>
  <si>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</si>
  <si>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</si>
  <si>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</si>
  <si>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</si>
  <si>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</si>
  <si>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</si>
  <si>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</si>
  <si>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</si>
  <si>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</si>
  <si>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</si>
  <si>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</si>
  <si>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</si>
  <si>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</si>
  <si>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</si>
  <si>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</si>
  <si>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</si>
  <si>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</si>
  <si>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</si>
  <si>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</si>
  <si>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</si>
  <si>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</si>
  <si>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</si>
  <si>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</si>
  <si>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</si>
  <si>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</si>
  <si>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</si>
  <si>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</si>
  <si>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</si>
  <si>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</si>
  <si>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</si>
  <si>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</si>
  <si>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</si>
  <si>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</si>
  <si>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</si>
  <si>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</si>
  <si>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</si>
  <si>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</si>
  <si>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</si>
  <si>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</si>
  <si>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</si>
  <si>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</si>
  <si>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</si>
  <si>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</si>
  <si>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</si>
  <si>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</si>
  <si>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</si>
  <si>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</si>
  <si>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</si>
  <si>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</si>
  <si>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</si>
  <si>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</si>
  <si>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</si>
  <si>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</si>
  <si>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</si>
  <si>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</si>
  <si>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</si>
  <si>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</si>
  <si>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</si>
  <si>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</si>
  <si>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</si>
  <si>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</si>
  <si>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</si>
  <si>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</si>
  <si>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</si>
  <si>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</si>
  <si>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</si>
  <si>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</si>
  <si>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</si>
  <si>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</si>
  <si>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</si>
  <si>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</si>
  <si>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</si>
  <si>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</si>
  <si>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</si>
  <si>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</si>
  <si>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</si>
  <si>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</si>
  <si>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</si>
  <si>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</si>
  <si>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</si>
  <si>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</si>
  <si>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</si>
  <si>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</si>
  <si>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</si>
  <si>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</si>
  <si>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</si>
  <si>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</si>
  <si>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</si>
  <si>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</si>
  <si>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</si>
  <si>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</si>
  <si>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</si>
  <si>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</si>
  <si>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</si>
  <si>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</si>
  <si>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</si>
  <si>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</si>
  <si>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</si>
  <si>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</si>
  <si>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</si>
  <si>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</si>
  <si>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</si>
  <si>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</si>
  <si>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</si>
  <si>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</si>
  <si>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</si>
  <si>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</si>
  <si>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</si>
  <si>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</si>
  <si>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</si>
  <si>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</si>
  <si>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</si>
  <si>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</si>
  <si>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</si>
  <si>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</si>
  <si>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</si>
  <si>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</si>
  <si>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</si>
  <si>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</si>
  <si>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</si>
  <si>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</si>
  <si>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</si>
  <si>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</si>
  <si>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</si>
  <si>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</si>
  <si>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</si>
  <si>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</si>
  <si>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</si>
  <si>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</si>
  <si>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</si>
  <si>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</si>
  <si>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</si>
  <si>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</si>
  <si>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</si>
  <si>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</si>
  <si>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</si>
  <si>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</si>
  <si>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</si>
  <si>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</si>
  <si>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</si>
  <si>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</si>
  <si>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</si>
  <si>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</si>
  <si>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</si>
  <si>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</si>
  <si>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</si>
  <si>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</si>
  <si>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</si>
  <si>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</si>
  <si>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</si>
  <si>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</si>
  <si>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</si>
  <si>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</si>
  <si>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</si>
  <si>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</si>
  <si>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</si>
  <si>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</si>
  <si>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</si>
  <si>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</si>
  <si>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</si>
  <si>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</si>
  <si>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</si>
  <si>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</si>
  <si>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</si>
  <si>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</si>
  <si>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</si>
  <si>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</si>
  <si>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</si>
  <si>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</si>
  <si>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</si>
  <si>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</si>
  <si>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</si>
  <si>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</si>
  <si>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</si>
  <si>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</si>
  <si>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</si>
  <si>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</si>
  <si>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</si>
  <si>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</si>
  <si>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</si>
  <si>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</si>
  <si>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</si>
  <si>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</si>
  <si>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</si>
  <si>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</si>
  <si>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</si>
  <si>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</si>
  <si>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</si>
  <si>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</si>
  <si>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</si>
  <si>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</si>
  <si>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</si>
  <si>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</si>
  <si>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</si>
  <si>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</si>
  <si>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</si>
  <si>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</si>
  <si>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</si>
  <si>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</si>
  <si>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</si>
  <si>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</si>
  <si>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</si>
  <si>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</si>
  <si>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</si>
  <si>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</si>
  <si>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</si>
  <si>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</si>
  <si>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</si>
  <si>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</si>
  <si>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</si>
  <si>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</si>
  <si>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</si>
  <si>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</si>
  <si>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</si>
  <si>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</si>
  <si>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</si>
  <si>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</si>
  <si>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</si>
  <si>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</si>
  <si>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</si>
  <si>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</si>
  <si>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</si>
  <si>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</si>
  <si>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</si>
  <si>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</si>
  <si>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</si>
  <si>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БУЛ БИО НЦЗПБ ЕООД</t>
  </si>
  <si>
    <t>неконсолидиран</t>
  </si>
  <si>
    <t>01.01.2016 - 30.06.62016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</si>
</sst>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topLeftCell="A45" workbookViewId="0">
      <selection activeCell="G68" sqref="G68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870</v>
      </c>
      <c r="F3" s="217" t="s">
        <v>2</v>
      </c>
      <c r="G3" s="172"/>
      <c r="H3" s="461">
        <v>130428132</v>
      </c>
    </row>
    <row r="4" spans="1:8" ht="15">
      <c r="A4" s="575" t="s">
        <v>3</v>
      </c>
      <c r="B4" s="581"/>
      <c r="C4" s="581"/>
      <c r="D4" s="581"/>
      <c r="E4" s="504" t="s">
        <v>871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872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112</v>
      </c>
      <c r="D11" s="151">
        <v>112</v>
      </c>
      <c r="E11" s="237" t="s">
        <v>22</v>
      </c>
      <c r="F11" s="242" t="s">
        <v>23</v>
      </c>
      <c r="G11" s="152">
        <v>3473</v>
      </c>
      <c r="H11" s="152">
        <v>3473</v>
      </c>
    </row>
    <row r="12" spans="1:8" ht="15">
      <c r="A12" s="235" t="s">
        <v>24</v>
      </c>
      <c r="B12" s="241" t="s">
        <v>25</v>
      </c>
      <c r="C12" s="151">
        <v>373</v>
      </c>
      <c r="D12" s="151">
        <v>389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9044</v>
      </c>
      <c r="D13" s="151">
        <v>9865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f>263-150</f>
        <v>113</v>
      </c>
      <c r="D15" s="151">
        <v>67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f>768-409</f>
        <v>359</v>
      </c>
      <c r="D16" s="151">
        <v>292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348</v>
      </c>
      <c r="D17" s="151"/>
      <c r="E17" s="243" t="s">
        <v>46</v>
      </c>
      <c r="F17" s="245" t="s">
        <v>47</v>
      </c>
      <c r="G17" s="154">
        <f>G11+G14+G15+G16</f>
        <v>3473</v>
      </c>
      <c r="H17" s="154">
        <f>H11+H14+H15+H16</f>
        <v>3473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21</v>
      </c>
      <c r="D18" s="151">
        <v>27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10370</v>
      </c>
      <c r="D19" s="155">
        <f>SUM(D11:D18)</f>
        <v>10752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305</v>
      </c>
      <c r="H20" s="158">
        <v>314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16074</v>
      </c>
      <c r="H21" s="156">
        <f>SUM(H22:H24)</f>
        <v>11141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>
        <f>16087-13</f>
        <v>16074</v>
      </c>
      <c r="H24" s="152">
        <v>11141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16379</v>
      </c>
      <c r="H25" s="154">
        <f>H19+H20+H21</f>
        <v>11455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f>17-12</f>
        <v>5</v>
      </c>
      <c r="D26" s="151">
        <v>6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5</v>
      </c>
      <c r="D27" s="155">
        <f>SUM(D23:D26)</f>
        <v>6</v>
      </c>
      <c r="E27" s="253" t="s">
        <v>83</v>
      </c>
      <c r="F27" s="242" t="s">
        <v>84</v>
      </c>
      <c r="G27" s="154">
        <f>SUM(G28:G30)</f>
        <v>9</v>
      </c>
      <c r="H27" s="154">
        <f>SUM(H28:H30)</f>
        <v>1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9</v>
      </c>
      <c r="H28" s="152">
        <v>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3618</v>
      </c>
      <c r="H31" s="152">
        <v>9869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3627</v>
      </c>
      <c r="H33" s="154">
        <f>H27+H31+H32</f>
        <v>9870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23479</v>
      </c>
      <c r="H36" s="154">
        <f>H25+H17+H33</f>
        <v>24798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>
        <v>274</v>
      </c>
      <c r="H46" s="152">
        <v>791</v>
      </c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488</v>
      </c>
      <c r="H48" s="152">
        <v>488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762</v>
      </c>
      <c r="H49" s="154">
        <f>SUM(H43:H48)</f>
        <v>1279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>
        <v>362</v>
      </c>
      <c r="D50" s="151">
        <v>362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362</v>
      </c>
      <c r="D51" s="155">
        <f>SUM(D47:D50)</f>
        <v>362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24</v>
      </c>
      <c r="H53" s="152">
        <v>24</v>
      </c>
    </row>
    <row r="54" spans="1:18" ht="15">
      <c r="A54" s="235" t="s">
        <v>166</v>
      </c>
      <c r="B54" s="249" t="s">
        <v>167</v>
      </c>
      <c r="C54" s="151">
        <v>229</v>
      </c>
      <c r="D54" s="151">
        <v>229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10966</v>
      </c>
      <c r="D55" s="155">
        <f>D19+D20+D21+D27+D32+D45+D51+D53+D54</f>
        <v>11349</v>
      </c>
      <c r="E55" s="237" t="s">
        <v>172</v>
      </c>
      <c r="F55" s="261" t="s">
        <v>173</v>
      </c>
      <c r="G55" s="154">
        <f>G49+G51+G52+G53+G54</f>
        <v>786</v>
      </c>
      <c r="H55" s="154">
        <f>H49+H51+H52+H53+H54</f>
        <v>1303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3246</v>
      </c>
      <c r="D58" s="151">
        <v>2922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>
        <v>736</v>
      </c>
      <c r="D59" s="151">
        <v>881</v>
      </c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>
        <f>275</f>
        <v>275</v>
      </c>
      <c r="H60" s="152">
        <f>240+217</f>
        <v>457</v>
      </c>
    </row>
    <row r="61" spans="1:18" ht="15">
      <c r="A61" s="235" t="s">
        <v>187</v>
      </c>
      <c r="B61" s="244" t="s">
        <v>188</v>
      </c>
      <c r="C61" s="151">
        <v>711</v>
      </c>
      <c r="D61" s="151">
        <v>259</v>
      </c>
      <c r="E61" s="243" t="s">
        <v>189</v>
      </c>
      <c r="F61" s="272" t="s">
        <v>190</v>
      </c>
      <c r="G61" s="154">
        <f>SUM(G62:G68)</f>
        <v>3369</v>
      </c>
      <c r="H61" s="154">
        <f>SUM(H62:H68)</f>
        <v>1155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>
        <v>82</v>
      </c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4775</v>
      </c>
      <c r="D64" s="155">
        <f>SUM(D58:D63)</f>
        <v>4062</v>
      </c>
      <c r="E64" s="237" t="s">
        <v>200</v>
      </c>
      <c r="F64" s="242" t="s">
        <v>201</v>
      </c>
      <c r="G64" s="152">
        <f>35+83+143</f>
        <v>261</v>
      </c>
      <c r="H64" s="152">
        <f>366+72+30</f>
        <v>468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>
        <v>205</v>
      </c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f>2041+217+29</f>
        <v>2287</v>
      </c>
      <c r="H66" s="152">
        <f>513-217</f>
        <v>296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460</v>
      </c>
      <c r="H67" s="152">
        <v>53</v>
      </c>
    </row>
    <row r="68" spans="1:18" ht="15">
      <c r="A68" s="235" t="s">
        <v>211</v>
      </c>
      <c r="B68" s="241" t="s">
        <v>212</v>
      </c>
      <c r="C68" s="151">
        <f>85+8439+896</f>
        <v>9420</v>
      </c>
      <c r="D68" s="151">
        <v>9663</v>
      </c>
      <c r="E68" s="237" t="s">
        <v>213</v>
      </c>
      <c r="F68" s="242" t="s">
        <v>214</v>
      </c>
      <c r="G68" s="152">
        <v>156</v>
      </c>
      <c r="H68" s="152">
        <v>338</v>
      </c>
    </row>
    <row r="69" spans="1:18" ht="15">
      <c r="A69" s="235" t="s">
        <v>215</v>
      </c>
      <c r="B69" s="241" t="s">
        <v>216</v>
      </c>
      <c r="C69" s="151"/>
      <c r="D69" s="151">
        <v>920</v>
      </c>
      <c r="E69" s="251" t="s">
        <v>78</v>
      </c>
      <c r="F69" s="242" t="s">
        <v>217</v>
      </c>
      <c r="G69" s="152">
        <v>3</v>
      </c>
      <c r="H69" s="152">
        <v>23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1870</v>
      </c>
      <c r="H70" s="152">
        <v>1870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5517</v>
      </c>
      <c r="H71" s="161">
        <f>H59+H60+H61+H69+H70</f>
        <v>3505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f>81+540+3</f>
        <v>624</v>
      </c>
      <c r="D72" s="151">
        <v>137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574</v>
      </c>
      <c r="D74" s="151">
        <v>533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10618</v>
      </c>
      <c r="D75" s="155">
        <f>SUM(D67:D74)</f>
        <v>11253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83</v>
      </c>
      <c r="H76" s="152">
        <v>117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5600</v>
      </c>
      <c r="H79" s="162">
        <f>H71+H74+H75+H76</f>
        <v>3622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12</v>
      </c>
      <c r="D87" s="151">
        <v>14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f>3494-C89</f>
        <v>3427</v>
      </c>
      <c r="D88" s="151">
        <v>2973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>
        <v>67</v>
      </c>
      <c r="D89" s="151">
        <v>72</v>
      </c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3506</v>
      </c>
      <c r="D91" s="155">
        <f>SUM(D87:D90)</f>
        <v>3059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18899</v>
      </c>
      <c r="D93" s="155">
        <f>D64+D75+D84+D91+D92</f>
        <v>18374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29865</v>
      </c>
      <c r="D94" s="164">
        <f>D93+D55</f>
        <v>29723</v>
      </c>
      <c r="E94" s="449" t="s">
        <v>270</v>
      </c>
      <c r="F94" s="289" t="s">
        <v>271</v>
      </c>
      <c r="G94" s="165">
        <f>G36+G39+G55+G79</f>
        <v>29865</v>
      </c>
      <c r="H94" s="165">
        <f>H36+H39+H55+H79</f>
        <v>29723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9" workbookViewId="0">
      <selection activeCell="C40" sqref="C40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 xml:space="preserve"> БУЛ БИО НЦЗПБ ЕООД</v>
      </c>
      <c r="C2" s="584"/>
      <c r="D2" s="584"/>
      <c r="E2" s="584"/>
      <c r="F2" s="586" t="s">
        <v>2</v>
      </c>
      <c r="G2" s="586"/>
      <c r="H2" s="526">
        <f>'справка №1-БАЛАНС'!H3</f>
        <v>130428132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01.01.2016 - 30.06.62016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3149</v>
      </c>
      <c r="D9" s="46">
        <v>3214</v>
      </c>
      <c r="E9" s="298" t="s">
        <v>285</v>
      </c>
      <c r="F9" s="549" t="s">
        <v>286</v>
      </c>
      <c r="G9" s="550">
        <v>12997</v>
      </c>
      <c r="H9" s="550">
        <v>13078</v>
      </c>
    </row>
    <row r="10" spans="1:18">
      <c r="A10" s="298" t="s">
        <v>287</v>
      </c>
      <c r="B10" s="299" t="s">
        <v>288</v>
      </c>
      <c r="C10" s="46">
        <v>961</v>
      </c>
      <c r="D10" s="46">
        <v>854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1504</v>
      </c>
      <c r="D11" s="46">
        <v>654</v>
      </c>
      <c r="E11" s="300" t="s">
        <v>293</v>
      </c>
      <c r="F11" s="549" t="s">
        <v>294</v>
      </c>
      <c r="G11" s="550">
        <v>1843</v>
      </c>
      <c r="H11" s="550"/>
    </row>
    <row r="12" spans="1:18">
      <c r="A12" s="298" t="s">
        <v>295</v>
      </c>
      <c r="B12" s="299" t="s">
        <v>296</v>
      </c>
      <c r="C12" s="46">
        <v>4326</v>
      </c>
      <c r="D12" s="46">
        <v>3467</v>
      </c>
      <c r="E12" s="300" t="s">
        <v>78</v>
      </c>
      <c r="F12" s="549" t="s">
        <v>297</v>
      </c>
      <c r="G12" s="550">
        <v>109</v>
      </c>
      <c r="H12" s="550">
        <v>90</v>
      </c>
    </row>
    <row r="13" spans="1:18">
      <c r="A13" s="298" t="s">
        <v>298</v>
      </c>
      <c r="B13" s="299" t="s">
        <v>299</v>
      </c>
      <c r="C13" s="46">
        <v>722</v>
      </c>
      <c r="D13" s="46">
        <v>585</v>
      </c>
      <c r="E13" s="301" t="s">
        <v>51</v>
      </c>
      <c r="F13" s="551" t="s">
        <v>300</v>
      </c>
      <c r="G13" s="548">
        <f>SUM(G9:G12)</f>
        <v>14949</v>
      </c>
      <c r="H13" s="548">
        <f>SUM(H9:H12)</f>
        <v>13168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>
        <v>-518</v>
      </c>
      <c r="D15" s="47">
        <v>-338</v>
      </c>
      <c r="E15" s="296" t="s">
        <v>305</v>
      </c>
      <c r="F15" s="554" t="s">
        <v>306</v>
      </c>
      <c r="G15" s="550">
        <v>34</v>
      </c>
      <c r="H15" s="550">
        <v>34</v>
      </c>
    </row>
    <row r="16" spans="1:18">
      <c r="A16" s="298" t="s">
        <v>307</v>
      </c>
      <c r="B16" s="299" t="s">
        <v>308</v>
      </c>
      <c r="C16" s="47">
        <v>1018</v>
      </c>
      <c r="D16" s="47">
        <v>780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11162</v>
      </c>
      <c r="D19" s="49">
        <f>SUM(D9:D15)+D16</f>
        <v>9216</v>
      </c>
      <c r="E19" s="304" t="s">
        <v>317</v>
      </c>
      <c r="F19" s="552" t="s">
        <v>318</v>
      </c>
      <c r="G19" s="550"/>
      <c r="H19" s="550">
        <v>26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/>
      <c r="D22" s="46"/>
      <c r="E22" s="304" t="s">
        <v>326</v>
      </c>
      <c r="F22" s="552" t="s">
        <v>327</v>
      </c>
      <c r="G22" s="550">
        <v>123</v>
      </c>
      <c r="H22" s="550">
        <v>415</v>
      </c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>
        <v>294</v>
      </c>
      <c r="D24" s="46">
        <v>276</v>
      </c>
      <c r="E24" s="301" t="s">
        <v>103</v>
      </c>
      <c r="F24" s="554" t="s">
        <v>334</v>
      </c>
      <c r="G24" s="548">
        <f>SUM(G19:G23)</f>
        <v>123</v>
      </c>
      <c r="H24" s="548">
        <f>SUM(H19:H23)</f>
        <v>441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32</v>
      </c>
      <c r="D25" s="46">
        <v>16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326</v>
      </c>
      <c r="D26" s="49">
        <f>SUM(D22:D25)</f>
        <v>292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11488</v>
      </c>
      <c r="D28" s="50">
        <f>D26+D19</f>
        <v>9508</v>
      </c>
      <c r="E28" s="127" t="s">
        <v>339</v>
      </c>
      <c r="F28" s="554" t="s">
        <v>340</v>
      </c>
      <c r="G28" s="548">
        <f>G13+G15+G24</f>
        <v>15106</v>
      </c>
      <c r="H28" s="548">
        <f>H13+H15+H24</f>
        <v>13643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3618</v>
      </c>
      <c r="D30" s="50">
        <f>IF((H28-D28)&gt;0,H28-D28,0)</f>
        <v>4135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11488</v>
      </c>
      <c r="D33" s="49">
        <f>D28-D31+D32</f>
        <v>9508</v>
      </c>
      <c r="E33" s="127" t="s">
        <v>353</v>
      </c>
      <c r="F33" s="554" t="s">
        <v>354</v>
      </c>
      <c r="G33" s="53">
        <f>G32-G31+G28</f>
        <v>15106</v>
      </c>
      <c r="H33" s="53">
        <f>H32-H31+H28</f>
        <v>13643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3618</v>
      </c>
      <c r="D34" s="50">
        <f>IF((H33-D33)&gt;0,H33-D33,0)</f>
        <v>4135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/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3618</v>
      </c>
      <c r="D39" s="460">
        <f>+IF((H33-D33-D35)&gt;0,H33-D33-D35,0)</f>
        <v>4135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3618</v>
      </c>
      <c r="D41" s="52">
        <f>IF(H39=0,IF(D39-D40&gt;0,D39-D40+H40,0),IF(H39-H40&lt;0,H40-H39+D39,0))</f>
        <v>4135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15106</v>
      </c>
      <c r="D42" s="53">
        <f>D33+D35+D39</f>
        <v>13643</v>
      </c>
      <c r="E42" s="128" t="s">
        <v>380</v>
      </c>
      <c r="F42" s="129" t="s">
        <v>381</v>
      </c>
      <c r="G42" s="53">
        <f>G39+G33</f>
        <v>15106</v>
      </c>
      <c r="H42" s="53">
        <f>H39+H33</f>
        <v>13643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7" workbookViewId="0">
      <selection activeCell="D19" sqref="D19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 xml:space="preserve"> БУЛ БИО НЦЗПБ ЕООД</v>
      </c>
      <c r="C4" s="541" t="s">
        <v>2</v>
      </c>
      <c r="D4" s="541">
        <f>'справка №1-БАЛАНС'!H3</f>
        <v>130428132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01.01.2016 - 30.06.62016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f>16615+98</f>
        <v>16713</v>
      </c>
      <c r="D10" s="54">
        <f>12504+86</f>
        <v>12590</v>
      </c>
      <c r="E10" s="130"/>
      <c r="F10" s="130"/>
    </row>
    <row r="11" spans="1:13">
      <c r="A11" s="332" t="s">
        <v>390</v>
      </c>
      <c r="B11" s="333" t="s">
        <v>391</v>
      </c>
      <c r="C11" s="54">
        <v>-6515</v>
      </c>
      <c r="D11" s="54">
        <v>-4080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>
        <f>-2064-761</f>
        <v>-2825</v>
      </c>
      <c r="D13" s="54">
        <f>-2041-680</f>
        <v>-2721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f>252-102</f>
        <v>150</v>
      </c>
      <c r="D14" s="54">
        <v>-25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-878</v>
      </c>
      <c r="D15" s="54">
        <v>-574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>
        <v>-42</v>
      </c>
      <c r="D17" s="54">
        <v>-9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>
        <v>-103</v>
      </c>
      <c r="D18" s="54">
        <v>62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-4933</v>
      </c>
      <c r="D19" s="54">
        <f>-4709-491</f>
        <v>-5200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1567</v>
      </c>
      <c r="D20" s="55">
        <f>SUM(D10:D19)</f>
        <v>43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-1120</v>
      </c>
      <c r="D22" s="54">
        <v>-4789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-1120</v>
      </c>
      <c r="D32" s="55">
        <f>SUM(D22:D31)</f>
        <v>-4789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/>
      <c r="D37" s="54"/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0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447</v>
      </c>
      <c r="D43" s="55">
        <f>D42+D32+D20</f>
        <v>-4746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3059</v>
      </c>
      <c r="D44" s="132">
        <v>7701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3506</v>
      </c>
      <c r="D45" s="55">
        <f>D44+D43</f>
        <v>2955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>
        <v>3452</v>
      </c>
      <c r="D46" s="56">
        <v>2922</v>
      </c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>
        <v>54</v>
      </c>
      <c r="D47" s="56">
        <v>33</v>
      </c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L32" sqref="L32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 xml:space="preserve"> БУЛ БИО НЦЗПБ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130428132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01.01.2016 - 30.06.62016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3473</v>
      </c>
      <c r="D11" s="58">
        <f>'справка №1-БАЛАНС'!H19</f>
        <v>0</v>
      </c>
      <c r="E11" s="58">
        <f>'справка №1-БАЛАНС'!H20</f>
        <v>314</v>
      </c>
      <c r="F11" s="58">
        <f>'справка №1-БАЛАНС'!H22</f>
        <v>0</v>
      </c>
      <c r="G11" s="58">
        <f>'справка №1-БАЛАНС'!H23</f>
        <v>0</v>
      </c>
      <c r="H11" s="60">
        <v>11141</v>
      </c>
      <c r="I11" s="58">
        <f>'справка №1-БАЛАНС'!H28+'справка №1-БАЛАНС'!H31</f>
        <v>9870</v>
      </c>
      <c r="J11" s="58">
        <f>'справка №1-БАЛАНС'!H29+'справка №1-БАЛАНС'!H32</f>
        <v>0</v>
      </c>
      <c r="K11" s="60"/>
      <c r="L11" s="344">
        <f>SUM(C11:K11)</f>
        <v>24798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3473</v>
      </c>
      <c r="D15" s="61">
        <f t="shared" ref="D15:M15" si="2">D11+D12</f>
        <v>0</v>
      </c>
      <c r="E15" s="61">
        <f t="shared" si="2"/>
        <v>314</v>
      </c>
      <c r="F15" s="61">
        <f t="shared" si="2"/>
        <v>0</v>
      </c>
      <c r="G15" s="61">
        <f t="shared" si="2"/>
        <v>0</v>
      </c>
      <c r="H15" s="61">
        <f t="shared" si="2"/>
        <v>11141</v>
      </c>
      <c r="I15" s="61">
        <f t="shared" si="2"/>
        <v>9870</v>
      </c>
      <c r="J15" s="61">
        <f t="shared" si="2"/>
        <v>0</v>
      </c>
      <c r="K15" s="61">
        <f t="shared" si="2"/>
        <v>0</v>
      </c>
      <c r="L15" s="344">
        <f t="shared" si="1"/>
        <v>24798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3618</v>
      </c>
      <c r="J16" s="345">
        <f>+'справка №1-БАЛАНС'!G32</f>
        <v>0</v>
      </c>
      <c r="K16" s="60"/>
      <c r="L16" s="344">
        <f t="shared" si="1"/>
        <v>3618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4932</v>
      </c>
      <c r="I17" s="62">
        <f t="shared" si="3"/>
        <v>-9869</v>
      </c>
      <c r="J17" s="62">
        <f>J18+J19</f>
        <v>0</v>
      </c>
      <c r="K17" s="62">
        <f t="shared" si="3"/>
        <v>0</v>
      </c>
      <c r="L17" s="344">
        <f t="shared" si="1"/>
        <v>-4937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>
        <v>-4932</v>
      </c>
      <c r="J18" s="60"/>
      <c r="K18" s="60"/>
      <c r="L18" s="344">
        <f t="shared" si="1"/>
        <v>-4932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>
        <v>4932</v>
      </c>
      <c r="I19" s="60">
        <v>-4937</v>
      </c>
      <c r="J19" s="60"/>
      <c r="K19" s="60"/>
      <c r="L19" s="344">
        <f t="shared" si="1"/>
        <v>-5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>
        <v>-9</v>
      </c>
      <c r="F28" s="60"/>
      <c r="G28" s="60"/>
      <c r="H28" s="60">
        <v>1</v>
      </c>
      <c r="I28" s="60">
        <v>8</v>
      </c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3473</v>
      </c>
      <c r="D29" s="59">
        <f t="shared" ref="D29:M29" si="6">D17+D20+D21+D24+D28+D27+D15+D16</f>
        <v>0</v>
      </c>
      <c r="E29" s="59">
        <f t="shared" si="6"/>
        <v>305</v>
      </c>
      <c r="F29" s="59">
        <f t="shared" si="6"/>
        <v>0</v>
      </c>
      <c r="G29" s="59">
        <f t="shared" si="6"/>
        <v>0</v>
      </c>
      <c r="H29" s="59">
        <f t="shared" si="6"/>
        <v>16074</v>
      </c>
      <c r="I29" s="59">
        <f t="shared" si="6"/>
        <v>3627</v>
      </c>
      <c r="J29" s="59">
        <f t="shared" si="6"/>
        <v>0</v>
      </c>
      <c r="K29" s="59">
        <f t="shared" si="6"/>
        <v>0</v>
      </c>
      <c r="L29" s="344">
        <f t="shared" si="1"/>
        <v>23479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3473</v>
      </c>
      <c r="D32" s="59">
        <f t="shared" si="7"/>
        <v>0</v>
      </c>
      <c r="E32" s="59">
        <f t="shared" si="7"/>
        <v>305</v>
      </c>
      <c r="F32" s="59">
        <f t="shared" si="7"/>
        <v>0</v>
      </c>
      <c r="G32" s="59">
        <f t="shared" si="7"/>
        <v>0</v>
      </c>
      <c r="H32" s="59">
        <f t="shared" si="7"/>
        <v>16074</v>
      </c>
      <c r="I32" s="59">
        <f t="shared" si="7"/>
        <v>3627</v>
      </c>
      <c r="J32" s="59">
        <f t="shared" si="7"/>
        <v>0</v>
      </c>
      <c r="K32" s="59">
        <f t="shared" si="7"/>
        <v>0</v>
      </c>
      <c r="L32" s="344">
        <f t="shared" si="1"/>
        <v>23479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6" workbookViewId="0">
      <selection activeCell="E14" sqref="E1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 xml:space="preserve"> БУЛ БИО НЦЗПБ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130428132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01.01.2016 - 30.06.62016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>
        <v>112</v>
      </c>
      <c r="E9" s="189"/>
      <c r="F9" s="189"/>
      <c r="G9" s="74">
        <f>D9+E9-F9</f>
        <v>112</v>
      </c>
      <c r="H9" s="65"/>
      <c r="I9" s="65"/>
      <c r="J9" s="74">
        <f>G9+H9-I9</f>
        <v>112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112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>
        <v>765</v>
      </c>
      <c r="E10" s="189"/>
      <c r="F10" s="189"/>
      <c r="G10" s="74">
        <f t="shared" ref="G10:G39" si="2">D10+E10-F10</f>
        <v>765</v>
      </c>
      <c r="H10" s="65"/>
      <c r="I10" s="65"/>
      <c r="J10" s="74">
        <f t="shared" ref="J10:J39" si="3">G10+H10-I10</f>
        <v>765</v>
      </c>
      <c r="K10" s="65">
        <v>376</v>
      </c>
      <c r="L10" s="65">
        <v>16</v>
      </c>
      <c r="M10" s="65"/>
      <c r="N10" s="74">
        <f t="shared" ref="N10:N39" si="4">K10+L10-M10</f>
        <v>392</v>
      </c>
      <c r="O10" s="65"/>
      <c r="P10" s="65"/>
      <c r="Q10" s="74">
        <f t="shared" si="0"/>
        <v>392</v>
      </c>
      <c r="R10" s="74">
        <f t="shared" si="1"/>
        <v>373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25244</v>
      </c>
      <c r="E11" s="189">
        <v>606</v>
      </c>
      <c r="F11" s="189">
        <v>137</v>
      </c>
      <c r="G11" s="74">
        <f t="shared" si="2"/>
        <v>25713</v>
      </c>
      <c r="H11" s="65"/>
      <c r="I11" s="65"/>
      <c r="J11" s="74">
        <f t="shared" si="3"/>
        <v>25713</v>
      </c>
      <c r="K11" s="65">
        <v>15380</v>
      </c>
      <c r="L11" s="65">
        <v>1426</v>
      </c>
      <c r="M11" s="65">
        <v>137</v>
      </c>
      <c r="N11" s="74">
        <f t="shared" si="4"/>
        <v>16669</v>
      </c>
      <c r="O11" s="65"/>
      <c r="P11" s="65"/>
      <c r="Q11" s="74">
        <f t="shared" si="0"/>
        <v>16669</v>
      </c>
      <c r="R11" s="74">
        <f t="shared" si="1"/>
        <v>9044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>
        <v>150</v>
      </c>
      <c r="E12" s="189"/>
      <c r="F12" s="189"/>
      <c r="G12" s="74">
        <f t="shared" si="2"/>
        <v>150</v>
      </c>
      <c r="H12" s="65"/>
      <c r="I12" s="65"/>
      <c r="J12" s="74">
        <f t="shared" si="3"/>
        <v>150</v>
      </c>
      <c r="K12" s="65">
        <v>150</v>
      </c>
      <c r="L12" s="65"/>
      <c r="M12" s="65"/>
      <c r="N12" s="74">
        <f t="shared" si="4"/>
        <v>150</v>
      </c>
      <c r="O12" s="65"/>
      <c r="P12" s="65"/>
      <c r="Q12" s="74">
        <f t="shared" si="0"/>
        <v>150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>
        <v>198</v>
      </c>
      <c r="E13" s="189">
        <v>65</v>
      </c>
      <c r="F13" s="189"/>
      <c r="G13" s="74">
        <f t="shared" si="2"/>
        <v>263</v>
      </c>
      <c r="H13" s="65"/>
      <c r="I13" s="65"/>
      <c r="J13" s="74">
        <f t="shared" si="3"/>
        <v>263</v>
      </c>
      <c r="K13" s="65">
        <v>131</v>
      </c>
      <c r="L13" s="65">
        <v>19</v>
      </c>
      <c r="M13" s="65"/>
      <c r="N13" s="74">
        <f t="shared" si="4"/>
        <v>150</v>
      </c>
      <c r="O13" s="65"/>
      <c r="P13" s="65"/>
      <c r="Q13" s="74">
        <f t="shared" si="0"/>
        <v>150</v>
      </c>
      <c r="R13" s="74">
        <f t="shared" si="1"/>
        <v>113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>
        <v>700</v>
      </c>
      <c r="E14" s="189">
        <v>96</v>
      </c>
      <c r="F14" s="189">
        <v>28</v>
      </c>
      <c r="G14" s="74">
        <f t="shared" si="2"/>
        <v>768</v>
      </c>
      <c r="H14" s="65"/>
      <c r="I14" s="65"/>
      <c r="J14" s="74">
        <f t="shared" si="3"/>
        <v>768</v>
      </c>
      <c r="K14" s="65">
        <v>407</v>
      </c>
      <c r="L14" s="65">
        <v>30</v>
      </c>
      <c r="M14" s="65">
        <v>28</v>
      </c>
      <c r="N14" s="74">
        <f t="shared" si="4"/>
        <v>409</v>
      </c>
      <c r="O14" s="65"/>
      <c r="P14" s="65"/>
      <c r="Q14" s="74">
        <f t="shared" si="0"/>
        <v>409</v>
      </c>
      <c r="R14" s="74">
        <f t="shared" si="1"/>
        <v>359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/>
      <c r="E15" s="457">
        <v>348</v>
      </c>
      <c r="F15" s="457"/>
      <c r="G15" s="74">
        <f t="shared" si="2"/>
        <v>348</v>
      </c>
      <c r="H15" s="458"/>
      <c r="I15" s="458"/>
      <c r="J15" s="74">
        <f t="shared" si="3"/>
        <v>348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348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>
        <v>139</v>
      </c>
      <c r="E16" s="189">
        <v>6</v>
      </c>
      <c r="F16" s="189">
        <v>3</v>
      </c>
      <c r="G16" s="74">
        <f t="shared" si="2"/>
        <v>142</v>
      </c>
      <c r="H16" s="65"/>
      <c r="I16" s="65"/>
      <c r="J16" s="74">
        <f t="shared" si="3"/>
        <v>142</v>
      </c>
      <c r="K16" s="65">
        <v>112</v>
      </c>
      <c r="L16" s="65">
        <v>12</v>
      </c>
      <c r="M16" s="65">
        <v>3</v>
      </c>
      <c r="N16" s="74">
        <f t="shared" si="4"/>
        <v>121</v>
      </c>
      <c r="O16" s="65"/>
      <c r="P16" s="65"/>
      <c r="Q16" s="74">
        <f t="shared" ref="Q16:Q25" si="5">N16+O16-P16</f>
        <v>121</v>
      </c>
      <c r="R16" s="74">
        <f t="shared" ref="R16:R25" si="6">J16-Q16</f>
        <v>21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27308</v>
      </c>
      <c r="E17" s="194">
        <f>SUM(E9:E16)</f>
        <v>1121</v>
      </c>
      <c r="F17" s="194">
        <f>SUM(F9:F16)</f>
        <v>168</v>
      </c>
      <c r="G17" s="74">
        <f t="shared" si="2"/>
        <v>28261</v>
      </c>
      <c r="H17" s="75">
        <f>SUM(H9:H16)</f>
        <v>0</v>
      </c>
      <c r="I17" s="75">
        <f>SUM(I9:I16)</f>
        <v>0</v>
      </c>
      <c r="J17" s="74">
        <f t="shared" si="3"/>
        <v>28261</v>
      </c>
      <c r="K17" s="75">
        <f>SUM(K9:K16)</f>
        <v>16556</v>
      </c>
      <c r="L17" s="75">
        <f>SUM(L9:L16)</f>
        <v>1503</v>
      </c>
      <c r="M17" s="75">
        <f>SUM(M9:M16)</f>
        <v>168</v>
      </c>
      <c r="N17" s="74">
        <f t="shared" si="4"/>
        <v>17891</v>
      </c>
      <c r="O17" s="75">
        <f>SUM(O9:O16)</f>
        <v>0</v>
      </c>
      <c r="P17" s="75">
        <f>SUM(P9:P16)</f>
        <v>0</v>
      </c>
      <c r="Q17" s="74">
        <f t="shared" si="5"/>
        <v>17891</v>
      </c>
      <c r="R17" s="74">
        <f t="shared" si="6"/>
        <v>10370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3</v>
      </c>
      <c r="E21" s="189"/>
      <c r="F21" s="189"/>
      <c r="G21" s="74">
        <f t="shared" si="2"/>
        <v>3</v>
      </c>
      <c r="H21" s="65"/>
      <c r="I21" s="65"/>
      <c r="J21" s="74">
        <f t="shared" si="3"/>
        <v>3</v>
      </c>
      <c r="K21" s="65">
        <v>3</v>
      </c>
      <c r="L21" s="65"/>
      <c r="M21" s="65"/>
      <c r="N21" s="74">
        <f t="shared" si="4"/>
        <v>3</v>
      </c>
      <c r="O21" s="65"/>
      <c r="P21" s="65"/>
      <c r="Q21" s="74">
        <f t="shared" si="5"/>
        <v>3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>
        <v>17</v>
      </c>
      <c r="E24" s="189"/>
      <c r="F24" s="189"/>
      <c r="G24" s="74">
        <f t="shared" si="2"/>
        <v>17</v>
      </c>
      <c r="H24" s="65"/>
      <c r="I24" s="65"/>
      <c r="J24" s="74">
        <f t="shared" si="3"/>
        <v>17</v>
      </c>
      <c r="K24" s="65">
        <v>11</v>
      </c>
      <c r="L24" s="65">
        <v>1</v>
      </c>
      <c r="M24" s="65"/>
      <c r="N24" s="74">
        <f t="shared" si="4"/>
        <v>12</v>
      </c>
      <c r="O24" s="65"/>
      <c r="P24" s="65"/>
      <c r="Q24" s="74">
        <f t="shared" si="5"/>
        <v>12</v>
      </c>
      <c r="R24" s="74">
        <f t="shared" si="6"/>
        <v>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20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20</v>
      </c>
      <c r="H25" s="66">
        <f t="shared" si="7"/>
        <v>0</v>
      </c>
      <c r="I25" s="66">
        <f t="shared" si="7"/>
        <v>0</v>
      </c>
      <c r="J25" s="67">
        <f t="shared" si="3"/>
        <v>20</v>
      </c>
      <c r="K25" s="66">
        <f t="shared" si="7"/>
        <v>14</v>
      </c>
      <c r="L25" s="66">
        <f t="shared" si="7"/>
        <v>1</v>
      </c>
      <c r="M25" s="66">
        <f t="shared" si="7"/>
        <v>0</v>
      </c>
      <c r="N25" s="67">
        <f t="shared" si="4"/>
        <v>15</v>
      </c>
      <c r="O25" s="66">
        <f t="shared" si="7"/>
        <v>0</v>
      </c>
      <c r="P25" s="66">
        <f t="shared" si="7"/>
        <v>0</v>
      </c>
      <c r="Q25" s="67">
        <f t="shared" si="5"/>
        <v>15</v>
      </c>
      <c r="R25" s="67">
        <f t="shared" si="6"/>
        <v>5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27328</v>
      </c>
      <c r="E40" s="438">
        <f>E17+E18+E19+E25+E38+E39</f>
        <v>1121</v>
      </c>
      <c r="F40" s="438">
        <f t="shared" ref="F40:R40" si="13">F17+F18+F19+F25+F38+F39</f>
        <v>168</v>
      </c>
      <c r="G40" s="438">
        <f t="shared" si="13"/>
        <v>28281</v>
      </c>
      <c r="H40" s="438">
        <f t="shared" si="13"/>
        <v>0</v>
      </c>
      <c r="I40" s="438">
        <f t="shared" si="13"/>
        <v>0</v>
      </c>
      <c r="J40" s="438">
        <f t="shared" si="13"/>
        <v>28281</v>
      </c>
      <c r="K40" s="438">
        <f t="shared" si="13"/>
        <v>16570</v>
      </c>
      <c r="L40" s="438">
        <f t="shared" si="13"/>
        <v>1504</v>
      </c>
      <c r="M40" s="438">
        <f t="shared" si="13"/>
        <v>168</v>
      </c>
      <c r="N40" s="438">
        <f t="shared" si="13"/>
        <v>17906</v>
      </c>
      <c r="O40" s="438">
        <f t="shared" si="13"/>
        <v>0</v>
      </c>
      <c r="P40" s="438">
        <f t="shared" si="13"/>
        <v>0</v>
      </c>
      <c r="Q40" s="438">
        <f t="shared" si="13"/>
        <v>17906</v>
      </c>
      <c r="R40" s="438">
        <f t="shared" si="13"/>
        <v>10375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61" workbookViewId="0">
      <selection activeCell="A71" sqref="A71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 xml:space="preserve"> БУЛ БИО НЦЗПБ ЕООД</v>
      </c>
      <c r="C3" s="619"/>
      <c r="D3" s="526" t="s">
        <v>2</v>
      </c>
      <c r="E3" s="107">
        <f>'справка №1-БАЛАНС'!H3</f>
        <v>130428132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01.01.2016 - 30.06.62016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362</v>
      </c>
      <c r="D16" s="119">
        <f>+D17+D18</f>
        <v>362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>
        <v>362</v>
      </c>
      <c r="D18" s="108">
        <v>362</v>
      </c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362</v>
      </c>
      <c r="D19" s="104">
        <f>D11+D15+D16</f>
        <v>362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229</v>
      </c>
      <c r="D21" s="108">
        <v>229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9420</v>
      </c>
      <c r="D28" s="108">
        <v>9420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624</v>
      </c>
      <c r="D33" s="105">
        <f>SUM(D34:D37)</f>
        <v>621</v>
      </c>
      <c r="E33" s="121">
        <f>SUM(E34:E37)</f>
        <v>3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>
        <v>540</v>
      </c>
      <c r="D34" s="108">
        <v>540</v>
      </c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>
        <v>84</v>
      </c>
      <c r="D35" s="108">
        <v>81</v>
      </c>
      <c r="E35" s="120">
        <f t="shared" si="0"/>
        <v>3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574</v>
      </c>
      <c r="D38" s="105">
        <f>SUM(D39:D42)</f>
        <v>574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>
        <v>574</v>
      </c>
      <c r="D42" s="108">
        <v>574</v>
      </c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10618</v>
      </c>
      <c r="D43" s="104">
        <f>D24+D28+D29+D31+D30+D32+D33+D38</f>
        <v>10615</v>
      </c>
      <c r="E43" s="118">
        <f>E24+E28+E29+E31+E30+E32+E33+E38</f>
        <v>3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11209</v>
      </c>
      <c r="D44" s="103">
        <f>D43+D21+D19+D9</f>
        <v>11206</v>
      </c>
      <c r="E44" s="118">
        <f>E43+E21+E19+E9</f>
        <v>3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>
        <v>274</v>
      </c>
      <c r="D62" s="108"/>
      <c r="E62" s="119">
        <f t="shared" si="1"/>
        <v>274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488</v>
      </c>
      <c r="D64" s="108"/>
      <c r="E64" s="119">
        <f t="shared" si="1"/>
        <v>488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762</v>
      </c>
      <c r="D66" s="103">
        <f>D52+D56+D61+D62+D63+D64</f>
        <v>0</v>
      </c>
      <c r="E66" s="119">
        <f t="shared" si="1"/>
        <v>762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24</v>
      </c>
      <c r="D68" s="108"/>
      <c r="E68" s="119">
        <f t="shared" si="1"/>
        <v>24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/>
      <c r="D72" s="108"/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/>
      <c r="D74" s="108"/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275</v>
      </c>
      <c r="D80" s="103">
        <f>SUM(D81:D84)</f>
        <v>275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>
        <v>275</v>
      </c>
      <c r="D84" s="108">
        <v>275</v>
      </c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3369</v>
      </c>
      <c r="D85" s="104">
        <f>SUM(D86:D90)+D94</f>
        <v>3369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261</v>
      </c>
      <c r="D87" s="108">
        <v>261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>
        <v>205</v>
      </c>
      <c r="D88" s="108">
        <v>205</v>
      </c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>
        <v>2287</v>
      </c>
      <c r="D89" s="108">
        <v>2287</v>
      </c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156</v>
      </c>
      <c r="D90" s="103">
        <f>SUM(D91:D93)</f>
        <v>156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/>
      <c r="D91" s="108"/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/>
      <c r="D92" s="108"/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156</v>
      </c>
      <c r="D93" s="108">
        <v>156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>
        <v>460</v>
      </c>
      <c r="D94" s="108">
        <v>460</v>
      </c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>
        <v>3</v>
      </c>
      <c r="D95" s="108">
        <v>3</v>
      </c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3647</v>
      </c>
      <c r="D96" s="104">
        <f>D85+D80+D75+D71+D95</f>
        <v>3647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4433</v>
      </c>
      <c r="D97" s="104">
        <f>D96+D68+D66</f>
        <v>3647</v>
      </c>
      <c r="E97" s="104">
        <f>E96+E68+E66</f>
        <v>786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838</v>
      </c>
      <c r="D102" s="108"/>
      <c r="E102" s="108"/>
      <c r="F102" s="125">
        <f>C102+D102-E102</f>
        <v>838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>
        <v>1032</v>
      </c>
      <c r="D103" s="108"/>
      <c r="E103" s="108"/>
      <c r="F103" s="125">
        <f>C103+D103-E103</f>
        <v>1032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1870</v>
      </c>
      <c r="D105" s="103">
        <f>SUM(D102:D104)</f>
        <v>0</v>
      </c>
      <c r="E105" s="103">
        <f>SUM(E102:E104)</f>
        <v>0</v>
      </c>
      <c r="F105" s="103">
        <f>SUM(F102:F104)</f>
        <v>1870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 xml:space="preserve"> БУЛ БИО НЦЗПБ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130428132</v>
      </c>
    </row>
    <row r="5" spans="1:9" ht="15">
      <c r="A5" s="501" t="s">
        <v>5</v>
      </c>
      <c r="B5" s="621" t="str">
        <f>'справка №1-БАЛАНС'!E5</f>
        <v>01.01.2016 - 30.06.62016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 xml:space="preserve"> БУЛ БИО НЦЗПБ ЕООД</v>
      </c>
      <c r="C5" s="627"/>
      <c r="D5" s="627"/>
      <c r="E5" s="570" t="s">
        <v>2</v>
      </c>
      <c r="F5" s="451">
        <f>'справка №1-БАЛАНС'!H3</f>
        <v>130428132</v>
      </c>
    </row>
    <row r="6" spans="1:15" ht="15" customHeight="1">
      <c r="A6" s="27" t="s">
        <v>826</v>
      </c>
      <c r="B6" s="628" t="str">
        <f>'справка №1-БАЛАНС'!E5</f>
        <v>01.01.2016 - 30.06.62016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boni</cp:lastModifiedBy>
  <cp:lastPrinted>2016-08-01T12:03:52Z</cp:lastPrinted>
  <dcterms:created xsi:type="dcterms:W3CDTF">2000-06-29T12:02:40Z</dcterms:created>
  <dcterms:modified xsi:type="dcterms:W3CDTF">2016-08-01T12:14:41Z</dcterms:modified>
</cp:coreProperties>
</file>