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46" i="3" l="1"/>
  <c r="C28" i="6" l="1"/>
  <c r="L21" i="5"/>
  <c r="K11" i="5" l="1"/>
  <c r="D11" i="5"/>
  <c r="K21" i="5"/>
  <c r="D21" i="5"/>
  <c r="C13" i="1" l="1"/>
  <c r="C12" i="1"/>
  <c r="C19" i="2" l="1"/>
  <c r="H27" i="1"/>
  <c r="G27" i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D29" i="4" s="1"/>
  <c r="E11" i="4"/>
  <c r="E12" i="4"/>
  <c r="E15" i="4"/>
  <c r="E17" i="4"/>
  <c r="E21" i="4"/>
  <c r="E24" i="4"/>
  <c r="E29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2" i="4"/>
  <c r="I17" i="4"/>
  <c r="L17" i="4" s="1"/>
  <c r="I21" i="4"/>
  <c r="I24" i="4"/>
  <c r="J11" i="4"/>
  <c r="J12" i="4"/>
  <c r="J15" i="4"/>
  <c r="J17" i="4"/>
  <c r="J21" i="4"/>
  <c r="J24" i="4"/>
  <c r="J16" i="4"/>
  <c r="L16" i="4" s="1"/>
  <c r="K17" i="4"/>
  <c r="K21" i="4"/>
  <c r="K24" i="4"/>
  <c r="K12" i="4"/>
  <c r="K15" i="4" s="1"/>
  <c r="C11" i="4"/>
  <c r="C12" i="4"/>
  <c r="C15" i="4"/>
  <c r="C17" i="4"/>
  <c r="C21" i="4"/>
  <c r="L21" i="4" s="1"/>
  <c r="C24" i="4"/>
  <c r="C29" i="4"/>
  <c r="C32" i="4" s="1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E32" i="4"/>
  <c r="G39" i="5"/>
  <c r="J39" i="5" s="1"/>
  <c r="R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G21" i="5"/>
  <c r="J21" i="5" s="1"/>
  <c r="G22" i="5"/>
  <c r="G23" i="5"/>
  <c r="G24" i="5"/>
  <c r="G27" i="5"/>
  <c r="G16" i="5"/>
  <c r="J16" i="5" s="1"/>
  <c r="R16" i="5" s="1"/>
  <c r="J20" i="5"/>
  <c r="J22" i="5"/>
  <c r="J23" i="5"/>
  <c r="J24" i="5"/>
  <c r="J27" i="5"/>
  <c r="N20" i="5"/>
  <c r="N21" i="5"/>
  <c r="Q21" i="5" s="1"/>
  <c r="N22" i="5"/>
  <c r="N23" i="5"/>
  <c r="N24" i="5"/>
  <c r="N27" i="5"/>
  <c r="N16" i="5"/>
  <c r="Q16" i="5" s="1"/>
  <c r="Q20" i="5"/>
  <c r="R20" i="5" s="1"/>
  <c r="Q22" i="5"/>
  <c r="R22" i="5" s="1"/>
  <c r="Q23" i="5"/>
  <c r="Q24" i="5"/>
  <c r="R24" i="5" s="1"/>
  <c r="Q27" i="5"/>
  <c r="G10" i="5"/>
  <c r="G11" i="5"/>
  <c r="G12" i="5"/>
  <c r="J12" i="5" s="1"/>
  <c r="G13" i="5"/>
  <c r="G14" i="5"/>
  <c r="J14" i="5" s="1"/>
  <c r="G9" i="5"/>
  <c r="J10" i="5"/>
  <c r="N10" i="5"/>
  <c r="Q10" i="5"/>
  <c r="J11" i="5"/>
  <c r="N11" i="5"/>
  <c r="Q11" i="5" s="1"/>
  <c r="N12" i="5"/>
  <c r="Q12" i="5"/>
  <c r="J13" i="5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96" i="6"/>
  <c r="F56" i="6"/>
  <c r="F52" i="6"/>
  <c r="F66" i="6" s="1"/>
  <c r="E95" i="6"/>
  <c r="C56" i="6"/>
  <c r="E56" i="6" s="1"/>
  <c r="C52" i="6"/>
  <c r="C66" i="6"/>
  <c r="D56" i="6"/>
  <c r="D52" i="6"/>
  <c r="D66" i="6" s="1"/>
  <c r="E68" i="6"/>
  <c r="C90" i="6"/>
  <c r="C85" i="6" s="1"/>
  <c r="C96" i="6" s="1"/>
  <c r="C97" i="6" s="1"/>
  <c r="C71" i="6"/>
  <c r="C75" i="6"/>
  <c r="C80" i="6"/>
  <c r="D16" i="6"/>
  <c r="C16" i="6"/>
  <c r="F103" i="6"/>
  <c r="F104" i="6"/>
  <c r="F105" i="6" s="1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1" i="6"/>
  <c r="E15" i="6"/>
  <c r="E16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C43" i="6" s="1"/>
  <c r="C44" i="6" s="1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C149" i="8"/>
  <c r="F148" i="8"/>
  <c r="E148" i="8"/>
  <c r="F131" i="8"/>
  <c r="E131" i="8"/>
  <c r="F114" i="8"/>
  <c r="E114" i="8"/>
  <c r="F97" i="8"/>
  <c r="E97" i="8"/>
  <c r="C27" i="8"/>
  <c r="C78" i="8"/>
  <c r="C61" i="8"/>
  <c r="C44" i="8"/>
  <c r="F78" i="8"/>
  <c r="E78" i="8"/>
  <c r="F61" i="8"/>
  <c r="E61" i="8"/>
  <c r="F44" i="8"/>
  <c r="E44" i="8"/>
  <c r="E27" i="8"/>
  <c r="E79" i="8" s="1"/>
  <c r="F27" i="8"/>
  <c r="F149" i="8"/>
  <c r="D43" i="3" l="1"/>
  <c r="D45" i="3" s="1"/>
  <c r="E38" i="6"/>
  <c r="E33" i="6"/>
  <c r="F79" i="8"/>
  <c r="H28" i="2"/>
  <c r="H30" i="2" s="1"/>
  <c r="G28" i="2"/>
  <c r="D28" i="2"/>
  <c r="D33" i="2" s="1"/>
  <c r="C28" i="2"/>
  <c r="G30" i="2" s="1"/>
  <c r="L11" i="4"/>
  <c r="I15" i="4"/>
  <c r="F15" i="4"/>
  <c r="H36" i="1"/>
  <c r="H94" i="1" s="1"/>
  <c r="D93" i="1"/>
  <c r="D55" i="1"/>
  <c r="G36" i="1"/>
  <c r="G94" i="1" s="1"/>
  <c r="R36" i="5"/>
  <c r="R34" i="5"/>
  <c r="R32" i="5"/>
  <c r="R30" i="5"/>
  <c r="R28" i="5"/>
  <c r="I17" i="7"/>
  <c r="E24" i="6"/>
  <c r="R14" i="5"/>
  <c r="R12" i="5"/>
  <c r="R10" i="5"/>
  <c r="J29" i="4"/>
  <c r="J32" i="4" s="1"/>
  <c r="M29" i="4"/>
  <c r="M32" i="4" s="1"/>
  <c r="C43" i="3"/>
  <c r="C45" i="3" s="1"/>
  <c r="C79" i="8"/>
  <c r="E149" i="8"/>
  <c r="D43" i="6"/>
  <c r="D44" i="6" s="1"/>
  <c r="E19" i="6"/>
  <c r="F97" i="6"/>
  <c r="R9" i="5"/>
  <c r="R13" i="5"/>
  <c r="R11" i="5"/>
  <c r="R27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G38" i="5" s="1"/>
  <c r="L12" i="4"/>
  <c r="K29" i="4"/>
  <c r="K32" i="4" s="1"/>
  <c r="C55" i="1"/>
  <c r="E43" i="6"/>
  <c r="E44" i="6" s="1"/>
  <c r="E66" i="6"/>
  <c r="D97" i="6"/>
  <c r="E52" i="6"/>
  <c r="E90" i="6"/>
  <c r="E85" i="6" s="1"/>
  <c r="E96" i="6" s="1"/>
  <c r="E97" i="6" s="1"/>
  <c r="F29" i="4"/>
  <c r="F32" i="4" s="1"/>
  <c r="L15" i="4"/>
  <c r="C93" i="1"/>
  <c r="K40" i="5"/>
  <c r="N38" i="5"/>
  <c r="D40" i="5"/>
  <c r="I29" i="4"/>
  <c r="I32" i="4" s="1"/>
  <c r="H29" i="4"/>
  <c r="H32" i="4" s="1"/>
  <c r="G29" i="4"/>
  <c r="G32" i="4" s="1"/>
  <c r="D32" i="4"/>
  <c r="G33" i="2"/>
  <c r="H33" i="2"/>
  <c r="D30" i="2" l="1"/>
  <c r="H34" i="2"/>
  <c r="C30" i="2"/>
  <c r="C33" i="2"/>
  <c r="L32" i="4"/>
  <c r="D94" i="1"/>
  <c r="C94" i="1"/>
  <c r="L29" i="4"/>
  <c r="D39" i="2"/>
  <c r="D34" i="2"/>
  <c r="C34" i="2"/>
  <c r="C39" i="2"/>
  <c r="C42" i="2" s="1"/>
  <c r="G40" i="5"/>
  <c r="J38" i="5"/>
  <c r="N40" i="5"/>
  <c r="Q38" i="5"/>
  <c r="Q40" i="5" s="1"/>
  <c r="G34" i="2"/>
  <c r="G39" i="2" s="1"/>
  <c r="H39" i="2"/>
  <c r="G42" i="2" l="1"/>
  <c r="C41" i="2"/>
  <c r="J40" i="5"/>
  <c r="R38" i="5"/>
  <c r="R40" i="5" s="1"/>
  <c r="G41" i="2"/>
  <c r="H42" i="2"/>
  <c r="D41" i="2"/>
  <c r="H41" i="2"/>
  <c r="D42" i="2"/>
</calcChain>
</file>

<file path=xl/sharedStrings.xml><?xml version="1.0" encoding="utf-8"?>
<sst xmlns="http://schemas.openxmlformats.org/spreadsheetml/2006/main" count="1069" uniqueCount="874">
  <si>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</si>
  <si>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</si>
  <si>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</si>
  <si>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</si>
  <si>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</si>
  <si>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</si>
  <si>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</si>
  <si>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</si>
  <si>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</si>
  <si>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</si>
  <si>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</si>
  <si>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</si>
  <si>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</si>
  <si>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</si>
  <si>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</si>
  <si>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</si>
  <si>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</si>
  <si>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</si>
  <si>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</si>
  <si>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</si>
  <si>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</si>
  <si>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</si>
  <si>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</si>
  <si>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</si>
  <si>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</si>
  <si>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</si>
  <si>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</si>
  <si>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</si>
  <si>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</si>
  <si>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</si>
  <si>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</si>
  <si>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</si>
  <si>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</si>
  <si>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</si>
  <si>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</si>
  <si>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</si>
  <si>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</si>
  <si>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</si>
  <si>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</si>
  <si>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</si>
  <si>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</si>
  <si>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</si>
  <si>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</si>
  <si>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</si>
  <si>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</si>
  <si>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</si>
  <si>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</si>
  <si>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</si>
  <si>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</si>
  <si>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</si>
  <si>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</si>
  <si>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</si>
  <si>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</si>
  <si>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</si>
  <si>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</si>
  <si>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</si>
  <si>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</si>
  <si>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</si>
  <si>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</si>
  <si>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</si>
  <si>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</si>
  <si>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</si>
  <si>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</si>
  <si>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</si>
  <si>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</si>
  <si>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</si>
  <si>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</si>
  <si>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</si>
  <si>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</si>
  <si>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</si>
  <si>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</si>
  <si>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</si>
  <si>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</si>
  <si>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</si>
  <si>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</si>
  <si>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</si>
  <si>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</si>
  <si>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</si>
  <si>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</si>
  <si>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</si>
  <si>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</si>
  <si>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</si>
  <si>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</si>
  <si>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</si>
  <si>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</si>
  <si>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</si>
  <si>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</si>
  <si>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</si>
  <si>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</si>
  <si>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</si>
  <si>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</si>
  <si>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</si>
  <si>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</si>
  <si>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</si>
  <si>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</si>
  <si>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</si>
  <si>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</si>
  <si>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</si>
  <si>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</si>
  <si>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</si>
  <si>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</si>
  <si>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</si>
  <si>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</si>
  <si>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</si>
  <si>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</si>
  <si>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</si>
  <si>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</si>
  <si>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</si>
  <si>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</si>
  <si>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</si>
  <si>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</si>
  <si>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</si>
  <si>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</si>
  <si>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</si>
  <si>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</si>
  <si>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</si>
  <si>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</si>
  <si>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</si>
  <si>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</si>
  <si>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</si>
  <si>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</si>
  <si>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</si>
  <si>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</si>
  <si>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</si>
  <si>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</si>
  <si>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</si>
  <si>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</si>
  <si>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</si>
  <si>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</si>
  <si>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</si>
  <si>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</si>
  <si>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</si>
  <si>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</si>
  <si>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</si>
  <si>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</si>
  <si>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</si>
  <si>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</si>
  <si>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</si>
  <si>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</si>
  <si>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</si>
  <si>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</si>
  <si>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</si>
  <si>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</si>
  <si>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</si>
  <si>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</si>
  <si>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</si>
  <si>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</si>
  <si>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</si>
  <si>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</si>
  <si>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</si>
  <si>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</si>
  <si>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</si>
  <si>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</si>
  <si>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</si>
  <si>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</si>
  <si>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</si>
  <si>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</si>
  <si>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</si>
  <si>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</si>
  <si>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</si>
  <si>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</si>
  <si>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</si>
  <si>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</si>
  <si>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</si>
  <si>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</si>
  <si>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</si>
  <si>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</si>
  <si>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</si>
  <si>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</si>
  <si>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</si>
  <si>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</si>
  <si>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</si>
  <si>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</si>
  <si>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</si>
  <si>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</si>
  <si>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</si>
  <si>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</si>
  <si>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</si>
  <si>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</si>
  <si>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</si>
  <si>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</si>
  <si>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</si>
  <si>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</si>
  <si>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</si>
  <si>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</si>
  <si>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</si>
  <si>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</si>
  <si>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</si>
  <si>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</si>
  <si>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</si>
  <si>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</si>
  <si>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</si>
  <si>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</si>
  <si>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</si>
  <si>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</si>
  <si>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</si>
  <si>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</si>
  <si>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</si>
  <si>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</si>
  <si>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</si>
  <si>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</si>
  <si>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</si>
  <si>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</si>
  <si>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</si>
  <si>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</si>
  <si>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</si>
  <si>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</si>
  <si>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</si>
  <si>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</si>
  <si>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</si>
  <si>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</si>
  <si>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</si>
  <si>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</si>
  <si>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</si>
  <si>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</si>
  <si>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</si>
  <si>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</si>
  <si>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</si>
  <si>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</si>
  <si>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</si>
  <si>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</si>
  <si>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</si>
  <si>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</si>
  <si>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</si>
  <si>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</si>
  <si>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</si>
  <si>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</si>
  <si>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</si>
  <si>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</si>
  <si>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</si>
  <si>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</si>
  <si>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</si>
  <si>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</si>
  <si>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</si>
  <si>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</si>
  <si>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</si>
  <si>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</si>
  <si>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</si>
  <si>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</si>
  <si>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</si>
  <si>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</si>
  <si>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</si>
  <si>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</si>
  <si>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</si>
  <si>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</si>
  <si>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</si>
  <si>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</si>
  <si>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</si>
  <si>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</si>
  <si>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</si>
  <si>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</si>
  <si>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</si>
  <si>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</si>
  <si>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</si>
  <si>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</si>
  <si>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</si>
  <si>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</si>
  <si>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</si>
  <si>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</si>
  <si>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</si>
  <si>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</si>
  <si>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</si>
  <si>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</si>
  <si>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</si>
  <si>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</si>
  <si>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</si>
  <si>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</si>
  <si>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</si>
  <si>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</si>
  <si>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</si>
  <si>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</si>
  <si>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</si>
  <si>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</si>
  <si>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</si>
  <si>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</si>
  <si>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</si>
  <si>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</si>
  <si>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</si>
  <si>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</si>
  <si>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</si>
  <si>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</si>
  <si>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</si>
  <si>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</si>
  <si>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</si>
  <si>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</si>
  <si>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</si>
  <si>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</si>
  <si>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</si>
  <si>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</si>
  <si>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</si>
  <si>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</si>
  <si>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</si>
  <si>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</si>
  <si>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</si>
  <si>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</si>
  <si>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</si>
  <si>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</si>
  <si>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</si>
  <si>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</si>
  <si>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</si>
  <si>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</si>
  <si>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</si>
  <si>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</si>
  <si>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</si>
  <si>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</si>
  <si>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</si>
  <si>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</si>
  <si>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</si>
  <si>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</si>
  <si>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</si>
  <si>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</si>
  <si>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</si>
  <si>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</si>
  <si>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</si>
  <si>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</si>
  <si>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</si>
  <si>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</si>
  <si>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</si>
  <si>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</si>
  <si>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</si>
  <si>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</si>
  <si>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</si>
  <si>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</si>
  <si>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</si>
  <si>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</si>
  <si>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</si>
  <si>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</si>
  <si>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</si>
  <si>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</si>
  <si>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</si>
  <si>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</si>
  <si>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</si>
  <si>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</si>
  <si>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</si>
  <si>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</si>
  <si>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</si>
  <si>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</si>
  <si>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</si>
  <si>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</si>
  <si>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</si>
  <si>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</si>
  <si>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</si>
  <si>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</si>
  <si>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</si>
  <si>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</si>
  <si>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</si>
  <si>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</si>
  <si>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</si>
  <si>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</si>
  <si>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</si>
  <si>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</si>
  <si>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</si>
  <si>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</si>
  <si>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</si>
  <si>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</si>
  <si>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</si>
  <si>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</si>
  <si>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</si>
  <si>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</si>
  <si>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</si>
  <si>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</si>
  <si>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</si>
  <si>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</si>
  <si>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</si>
  <si>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</si>
  <si>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</si>
  <si>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</si>
  <si>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</si>
  <si>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</si>
  <si>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</si>
  <si>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</si>
  <si>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</si>
  <si>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</si>
  <si>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</si>
  <si>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</si>
  <si>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</si>
  <si>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</si>
  <si>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</si>
  <si>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</si>
  <si>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</si>
  <si>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</si>
  <si>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</si>
  <si>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</si>
  <si>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</si>
  <si>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</si>
  <si>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</si>
  <si>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</si>
  <si>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</si>
  <si>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</si>
  <si>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</si>
  <si>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</si>
  <si>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</si>
  <si>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</si>
  <si>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</si>
  <si>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</si>
  <si>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</si>
  <si>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</si>
  <si>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</si>
  <si>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</si>
  <si>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</si>
  <si>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</si>
  <si>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</si>
  <si>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</si>
  <si>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</si>
  <si>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</si>
  <si>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</si>
  <si>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</si>
  <si>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</si>
  <si>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</si>
  <si>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</si>
  <si>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</si>
  <si>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</si>
  <si>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</si>
  <si>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</si>
  <si>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</si>
  <si>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</si>
  <si>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</si>
  <si>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</si>
  <si>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</si>
  <si>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</si>
  <si>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</si>
  <si>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</si>
  <si>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</si>
  <si>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</si>
  <si>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</si>
  <si>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</si>
  <si>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</si>
  <si>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</si>
  <si>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</si>
  <si>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</si>
  <si>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</si>
  <si>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</si>
  <si>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</si>
  <si>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</si>
  <si>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</si>
  <si>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</si>
  <si>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</si>
  <si>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</si>
  <si>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</si>
  <si>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</si>
  <si>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</si>
  <si>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</si>
  <si>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</si>
  <si>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</si>
  <si>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</si>
  <si>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</si>
  <si>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</si>
  <si>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</si>
  <si>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</si>
  <si>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</si>
  <si>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</si>
  <si>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</si>
  <si>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</si>
  <si>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</si>
  <si>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</si>
  <si>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</si>
  <si>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</si>
  <si>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</si>
  <si>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</si>
  <si>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</si>
  <si>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</si>
  <si>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</si>
  <si>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</si>
  <si>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</si>
  <si>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</si>
  <si>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</si>
  <si>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</si>
  <si>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</si>
  <si>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</si>
  <si>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</si>
  <si>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</si>
  <si>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</si>
  <si>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</si>
  <si>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</si>
  <si>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</si>
  <si>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</si>
  <si>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</si>
  <si>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</si>
  <si>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</si>
  <si>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</si>
  <si>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</si>
  <si>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</si>
  <si>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</si>
  <si>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</si>
  <si>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</si>
  <si>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</si>
  <si>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</si>
  <si>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</si>
  <si>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</si>
  <si>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</si>
  <si>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</si>
  <si>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</si>
  <si>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</si>
  <si>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</si>
  <si>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</si>
  <si>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</si>
  <si>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</si>
  <si>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</si>
  <si>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</si>
  <si>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</si>
  <si>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</si>
  <si>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</si>
  <si>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</si>
  <si>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</si>
  <si>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</si>
  <si>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</si>
  <si>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</si>
  <si>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</si>
  <si>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</si>
  <si>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</si>
  <si>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</si>
  <si>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</si>
  <si>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</si>
  <si>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</si>
  <si>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</si>
  <si>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</si>
  <si>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</si>
  <si>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</si>
  <si>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</si>
  <si>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</si>
  <si>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</si>
  <si>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</si>
  <si>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</si>
  <si>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</si>
  <si>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</si>
  <si>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</si>
  <si>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</si>
  <si>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</si>
  <si>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</si>
  <si>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</si>
  <si>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</si>
  <si>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</si>
  <si>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</si>
  <si>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</si>
  <si>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</si>
  <si>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</si>
  <si>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</si>
  <si>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</si>
  <si>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</si>
  <si>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</si>
  <si>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</si>
  <si>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</si>
  <si>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</si>
  <si>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</si>
  <si>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</si>
  <si>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</si>
  <si>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</si>
  <si>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</si>
  <si>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</si>
  <si>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</si>
  <si>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</si>
  <si>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</si>
  <si>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</si>
  <si>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</si>
  <si>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</si>
  <si>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</si>
  <si>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</si>
  <si>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</si>
  <si>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</si>
  <si>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</si>
  <si>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</si>
  <si>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</si>
  <si>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</si>
  <si>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</si>
  <si>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</si>
  <si>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</si>
  <si>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</si>
  <si>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</si>
  <si>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</si>
  <si>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</si>
  <si>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</si>
  <si>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</si>
  <si>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</si>
  <si>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</si>
  <si>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</si>
  <si>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</si>
  <si>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</si>
  <si>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</si>
  <si>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</si>
  <si>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</si>
  <si>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</si>
  <si>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</si>
  <si>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</si>
  <si>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</si>
  <si>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</si>
  <si>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</si>
  <si>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</si>
  <si>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</si>
  <si>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</si>
  <si>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</si>
  <si>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</si>
  <si>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</si>
  <si>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</si>
  <si>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</si>
  <si>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</si>
  <si>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</si>
  <si>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</si>
  <si>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</si>
  <si>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</si>
  <si>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</si>
  <si>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</si>
  <si>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</si>
  <si>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</si>
  <si>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</si>
  <si>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</si>
  <si>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</si>
  <si>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</si>
  <si>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</si>
  <si>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</si>
  <si>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</si>
  <si>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</si>
  <si>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</si>
  <si>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</si>
  <si>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</si>
  <si>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</si>
  <si>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</si>
  <si>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</si>
  <si>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</si>
  <si>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</si>
  <si>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</si>
  <si>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</si>
  <si>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</si>
  <si>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</si>
  <si>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</si>
  <si>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</si>
  <si>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</si>
  <si>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</si>
  <si>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</si>
  <si>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</si>
  <si>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</si>
  <si>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</si>
  <si>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</si>
  <si>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</si>
  <si>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</si>
  <si>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</si>
  <si>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</si>
  <si>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</si>
  <si>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</si>
  <si>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</si>
  <si>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</si>
  <si>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</si>
  <si>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</si>
  <si>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</si>
  <si>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</si>
  <si>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</si>
  <si>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</si>
  <si>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</si>
  <si>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</si>
  <si>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</si>
  <si>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</si>
  <si>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</si>
  <si>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</si>
  <si>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</si>
  <si>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</si>
  <si>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</si>
  <si>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</si>
  <si>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</si>
  <si>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</si>
  <si>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</si>
  <si>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</si>
  <si>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</si>
  <si>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</si>
  <si>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</si>
  <si>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</si>
  <si>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</si>
  <si>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</si>
  <si>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</si>
  <si>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</si>
  <si>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</si>
  <si>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</si>
  <si>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</si>
  <si>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</si>
  <si>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</si>
  <si>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</si>
  <si>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</si>
  <si>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</si>
  <si>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</si>
  <si>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</si>
  <si>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</si>
  <si>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</si>
  <si>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</si>
  <si>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</si>
  <si>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</si>
  <si>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</si>
  <si>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</si>
  <si>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</si>
  <si>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</si>
  <si>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</si>
  <si>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</si>
  <si>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</si>
  <si>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</si>
  <si>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</si>
  <si>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</si>
  <si>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</si>
  <si>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</si>
  <si>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</si>
  <si>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</si>
  <si>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</si>
  <si>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</si>
  <si>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</si>
  <si>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</si>
  <si>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</si>
  <si>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</si>
  <si>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</si>
  <si>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</si>
  <si>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</si>
  <si>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</si>
  <si>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</si>
  <si>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</si>
  <si>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</si>
  <si>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</si>
  <si>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</si>
  <si>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</si>
  <si>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</si>
  <si>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</si>
  <si>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</si>
  <si>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</si>
  <si>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</si>
  <si>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</si>
  <si>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</si>
  <si>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</si>
  <si>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</si>
  <si>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</si>
  <si>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</si>
  <si>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</si>
  <si>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</si>
  <si>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</si>
  <si>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</si>
  <si>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</si>
  <si>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</si>
  <si>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</si>
  <si>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</si>
  <si>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</si>
  <si>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</si>
  <si>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</si>
  <si>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</si>
  <si>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</si>
  <si>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</si>
  <si>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</si>
  <si>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</si>
  <si>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</si>
  <si>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</si>
  <si>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</si>
  <si>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</si>
  <si>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</si>
  <si>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</si>
  <si>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</si>
  <si>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</si>
  <si>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</si>
  <si>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</si>
  <si>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</si>
  <si>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</si>
  <si>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</si>
  <si>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</si>
  <si>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</si>
  <si>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</si>
  <si>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</si>
  <si>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</si>
  <si>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</si>
  <si>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</si>
  <si>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</si>
  <si>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</si>
  <si>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</si>
  <si>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</si>
  <si>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</si>
  <si>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</si>
  <si>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</si>
  <si>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</si>
  <si>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</si>
  <si>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</si>
  <si>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</si>
  <si>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</si>
  <si>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</si>
  <si>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</si>
  <si>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</si>
  <si>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</si>
  <si>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</si>
  <si>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</si>
  <si>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</si>
  <si>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</si>
  <si>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</si>
  <si>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</si>
  <si>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</si>
  <si>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</si>
  <si>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</si>
  <si>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</si>
  <si>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</si>
  <si>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</si>
  <si>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</si>
  <si>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</si>
  <si>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</si>
  <si>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</si>
  <si>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</si>
  <si>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</si>
  <si>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</si>
  <si>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</si>
  <si>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</si>
  <si>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</si>
  <si>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</si>
  <si>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</si>
  <si>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</si>
  <si>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</si>
  <si>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</si>
  <si>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</si>
  <si>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</si>
  <si>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</si>
  <si>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</si>
  <si>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</si>
  <si>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</si>
  <si>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</si>
  <si>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</si>
  <si>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</si>
  <si>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</si>
  <si>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</si>
  <si>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</si>
  <si>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</si>
  <si>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</si>
  <si>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</si>
  <si>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</si>
  <si>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</si>
  <si>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</si>
  <si>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</si>
  <si>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</si>
  <si>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</si>
  <si>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</si>
  <si>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</si>
  <si>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</si>
  <si>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</si>
  <si>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</si>
  <si>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</si>
  <si>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</si>
  <si>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</si>
  <si>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</si>
  <si>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</si>
  <si>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</si>
  <si>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</si>
  <si>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</si>
  <si>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</si>
  <si>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</si>
  <si>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</si>
  <si>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</si>
  <si>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</si>
  <si>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</si>
  <si>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</si>
  <si>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</si>
  <si>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</si>
  <si>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</si>
  <si>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</si>
  <si>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</si>
  <si>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</si>
  <si>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</si>
  <si>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</si>
  <si>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</si>
  <si>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</si>
  <si>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</si>
  <si>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</si>
  <si>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</si>
  <si>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</si>
  <si>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</si>
  <si>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</si>
  <si>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МНОГОПРОФИЛНА БОЛНИЦА ЗА АКТИВНО ЛЕЧЕНИЕ РУСЕ АД</t>
  </si>
  <si>
    <t>01.01.2016 - 30.06.2016</t>
  </si>
  <si>
    <t>Съставител: Надежда Хаджийска</t>
  </si>
  <si>
    <t>Ръководител: д-р Иван Стоянов</t>
  </si>
  <si>
    <t>29.07.2016г</t>
  </si>
  <si>
    <t>Надежда Хаджийска</t>
  </si>
  <si>
    <t>д-р Иван Стоянов</t>
  </si>
  <si>
    <t xml:space="preserve">Дата  на съставяне:  29.07.2016                                                                                                                  </t>
  </si>
  <si>
    <t xml:space="preserve"> Ръководител </t>
  </si>
  <si>
    <t>Дата на съставяне: 29.07.2016</t>
  </si>
  <si>
    <t xml:space="preserve">                                    Съставител: </t>
  </si>
  <si>
    <t>1  МЕДИЦИНСКИ ЦЕНТЪР Русе ЕООД</t>
  </si>
  <si>
    <t>Ръководител: Надежда Хаджийска</t>
  </si>
  <si>
    <t>КОНСОЛИДИРАН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</si>
</sst>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&quot;_-;\-* #,##0.00\ &quot;лв&quot;_-;_-* &quot;-&quot;??\ &quot;лв&quot;_-;_-@_-"/>
    <numFmt numFmtId="164" formatCode="d/m/yyyy&quot; &quot;&quot;г.&quot;;@"/>
    <numFmt numFmtId="165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3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4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5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10" fillId="0" borderId="0" xfId="3" applyNumberFormat="1" applyFont="1" applyAlignment="1" applyProtection="1">
      <alignment horizontal="left" vertical="center" wrapText="1"/>
      <protection locked="0"/>
    </xf>
    <xf numFmtId="14" fontId="10" fillId="0" borderId="0" xfId="7" applyNumberFormat="1" applyFont="1" applyProtection="1">
      <protection locked="0"/>
    </xf>
    <xf numFmtId="1" fontId="10" fillId="0" borderId="0" xfId="11" applyNumberFormat="1" applyFont="1" applyBorder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4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5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5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5" fontId="9" fillId="0" borderId="0" xfId="6" applyNumberFormat="1" applyFont="1" applyBorder="1" applyAlignment="1" applyProtection="1">
      <alignment horizontal="center" vertical="justify" wrapText="1"/>
    </xf>
    <xf numFmtId="165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5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5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A46" zoomScale="85" zoomScaleNormal="85" workbookViewId="0">
      <selection activeCell="G55" activeCellId="2" sqref="G61 G69 G55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28.5">
      <c r="A3" s="579" t="s">
        <v>1</v>
      </c>
      <c r="B3" s="580"/>
      <c r="C3" s="580"/>
      <c r="D3" s="580"/>
      <c r="E3" s="462" t="s">
        <v>860</v>
      </c>
      <c r="F3" s="217" t="s">
        <v>2</v>
      </c>
      <c r="G3" s="172"/>
      <c r="H3" s="461">
        <v>118505556</v>
      </c>
    </row>
    <row r="4" spans="1:8" ht="15">
      <c r="A4" s="579" t="s">
        <v>3</v>
      </c>
      <c r="B4" s="584"/>
      <c r="C4" s="584"/>
      <c r="D4" s="584"/>
      <c r="E4" s="504" t="s">
        <v>873</v>
      </c>
      <c r="F4" s="581" t="s">
        <v>4</v>
      </c>
      <c r="G4" s="582"/>
      <c r="H4" s="461" t="s">
        <v>159</v>
      </c>
    </row>
    <row r="5" spans="1:8" ht="15">
      <c r="A5" s="579" t="s">
        <v>5</v>
      </c>
      <c r="B5" s="580"/>
      <c r="C5" s="580"/>
      <c r="D5" s="580"/>
      <c r="E5" s="505" t="s">
        <v>861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343</v>
      </c>
      <c r="D11" s="151">
        <v>343</v>
      </c>
      <c r="E11" s="237" t="s">
        <v>22</v>
      </c>
      <c r="F11" s="242" t="s">
        <v>23</v>
      </c>
      <c r="G11" s="152">
        <v>24345</v>
      </c>
      <c r="H11" s="152">
        <v>16584</v>
      </c>
    </row>
    <row r="12" spans="1:8" ht="15">
      <c r="A12" s="235" t="s">
        <v>24</v>
      </c>
      <c r="B12" s="241" t="s">
        <v>25</v>
      </c>
      <c r="C12" s="151">
        <f>16673-2970</f>
        <v>13703</v>
      </c>
      <c r="D12" s="151">
        <v>13081</v>
      </c>
      <c r="E12" s="237" t="s">
        <v>26</v>
      </c>
      <c r="F12" s="242" t="s">
        <v>27</v>
      </c>
      <c r="G12" s="153">
        <v>24345</v>
      </c>
      <c r="H12" s="153">
        <v>16584</v>
      </c>
    </row>
    <row r="13" spans="1:8" ht="15">
      <c r="A13" s="235" t="s">
        <v>28</v>
      </c>
      <c r="B13" s="241" t="s">
        <v>29</v>
      </c>
      <c r="C13" s="151">
        <f>28132-18500-731</f>
        <v>8901</v>
      </c>
      <c r="D13" s="151">
        <v>2071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732</v>
      </c>
      <c r="D14" s="151">
        <v>799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28</v>
      </c>
      <c r="D15" s="151">
        <v>19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367</v>
      </c>
      <c r="D16" s="151">
        <v>406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456</v>
      </c>
      <c r="D17" s="151">
        <v>491</v>
      </c>
      <c r="E17" s="243" t="s">
        <v>46</v>
      </c>
      <c r="F17" s="245" t="s">
        <v>47</v>
      </c>
      <c r="G17" s="154">
        <f>G11+G14+G15+G16</f>
        <v>24345</v>
      </c>
      <c r="H17" s="154">
        <f>H11+H14+H15+H16</f>
        <v>16584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24530</v>
      </c>
      <c r="D19" s="155">
        <f>SUM(D11:D18)</f>
        <v>17210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196</v>
      </c>
      <c r="H21" s="156">
        <f>SUM(H22:H24)</f>
        <v>196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53</v>
      </c>
      <c r="H22" s="152">
        <v>53</v>
      </c>
    </row>
    <row r="23" spans="1:18" ht="15">
      <c r="A23" s="235" t="s">
        <v>66</v>
      </c>
      <c r="B23" s="241" t="s">
        <v>67</v>
      </c>
      <c r="C23" s="151">
        <v>21</v>
      </c>
      <c r="D23" s="151">
        <v>16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14</v>
      </c>
      <c r="D24" s="151">
        <v>9</v>
      </c>
      <c r="E24" s="237" t="s">
        <v>72</v>
      </c>
      <c r="F24" s="242" t="s">
        <v>73</v>
      </c>
      <c r="G24" s="152">
        <v>143</v>
      </c>
      <c r="H24" s="152">
        <v>143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196</v>
      </c>
      <c r="H25" s="154">
        <f>H19+H20+H21</f>
        <v>196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35</v>
      </c>
      <c r="D27" s="155">
        <f>SUM(D23:D26)</f>
        <v>25</v>
      </c>
      <c r="E27" s="253" t="s">
        <v>83</v>
      </c>
      <c r="F27" s="242" t="s">
        <v>84</v>
      </c>
      <c r="G27" s="154">
        <f>SUM(G28:G30)</f>
        <v>-481</v>
      </c>
      <c r="H27" s="154">
        <f>SUM(H28:H30)</f>
        <v>-529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2635</v>
      </c>
      <c r="H28" s="152">
        <v>2587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-3116</v>
      </c>
      <c r="H29" s="316">
        <v>-3116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42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-347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-828</v>
      </c>
      <c r="H33" s="154">
        <f>H27+H31+H32</f>
        <v>-487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849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23713</v>
      </c>
      <c r="H36" s="154">
        <f>H25+H17+H33</f>
        <v>16293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12</v>
      </c>
      <c r="H48" s="152">
        <v>13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12</v>
      </c>
      <c r="H49" s="154">
        <f>SUM(H43:H48)</f>
        <v>13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328</v>
      </c>
      <c r="D54" s="151">
        <v>328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24893</v>
      </c>
      <c r="D55" s="155">
        <f>D19+D20+D21+D27+D32+D45+D51+D53+D54</f>
        <v>17563</v>
      </c>
      <c r="E55" s="237" t="s">
        <v>172</v>
      </c>
      <c r="F55" s="261" t="s">
        <v>173</v>
      </c>
      <c r="G55" s="154">
        <f>G49+G51+G52+G53+G54</f>
        <v>12</v>
      </c>
      <c r="H55" s="154">
        <f>H49+H51+H52+H53+H54</f>
        <v>13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604</v>
      </c>
      <c r="D58" s="151">
        <v>569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3705</v>
      </c>
      <c r="H61" s="154">
        <f>SUM(H62:H68)</f>
        <v>3581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0</v>
      </c>
      <c r="H62" s="152">
        <v>0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604</v>
      </c>
      <c r="D64" s="155">
        <f>SUM(D58:D63)</f>
        <v>569</v>
      </c>
      <c r="E64" s="237" t="s">
        <v>200</v>
      </c>
      <c r="F64" s="242" t="s">
        <v>201</v>
      </c>
      <c r="G64" s="152">
        <v>2414</v>
      </c>
      <c r="H64" s="152">
        <v>2197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737</v>
      </c>
      <c r="H66" s="152">
        <v>817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354</v>
      </c>
      <c r="H67" s="152">
        <v>363</v>
      </c>
    </row>
    <row r="68" spans="1:18" ht="15">
      <c r="A68" s="235" t="s">
        <v>211</v>
      </c>
      <c r="B68" s="241" t="s">
        <v>212</v>
      </c>
      <c r="C68" s="151">
        <v>2809</v>
      </c>
      <c r="D68" s="151">
        <v>2744</v>
      </c>
      <c r="E68" s="237" t="s">
        <v>213</v>
      </c>
      <c r="F68" s="242" t="s">
        <v>214</v>
      </c>
      <c r="G68" s="152">
        <v>200</v>
      </c>
      <c r="H68" s="152">
        <v>204</v>
      </c>
    </row>
    <row r="69" spans="1:18" ht="15">
      <c r="A69" s="235" t="s">
        <v>215</v>
      </c>
      <c r="B69" s="241" t="s">
        <v>216</v>
      </c>
      <c r="C69" s="151">
        <v>38</v>
      </c>
      <c r="D69" s="151">
        <v>20</v>
      </c>
      <c r="E69" s="251" t="s">
        <v>78</v>
      </c>
      <c r="F69" s="242" t="s">
        <v>217</v>
      </c>
      <c r="G69" s="152">
        <v>65</v>
      </c>
      <c r="H69" s="152">
        <v>133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548</v>
      </c>
      <c r="H70" s="152">
        <v>595</v>
      </c>
    </row>
    <row r="71" spans="1:18" ht="15">
      <c r="A71" s="235" t="s">
        <v>222</v>
      </c>
      <c r="B71" s="241" t="s">
        <v>223</v>
      </c>
      <c r="C71" s="151">
        <v>93</v>
      </c>
      <c r="D71" s="151">
        <v>99</v>
      </c>
      <c r="E71" s="253" t="s">
        <v>46</v>
      </c>
      <c r="F71" s="273" t="s">
        <v>224</v>
      </c>
      <c r="G71" s="161">
        <f>G59+G60+G61+G69+G70</f>
        <v>4318</v>
      </c>
      <c r="H71" s="161">
        <f>H59+H60+H61+H69+H70</f>
        <v>4309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64</v>
      </c>
      <c r="D74" s="151">
        <v>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3004</v>
      </c>
      <c r="D75" s="155">
        <f>SUM(D67:D74)</f>
        <v>2863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2177</v>
      </c>
      <c r="H76" s="152">
        <v>2507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6495</v>
      </c>
      <c r="H79" s="162">
        <f>H71+H74+H75+H76</f>
        <v>6816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4</v>
      </c>
      <c r="D87" s="151">
        <v>13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1715</v>
      </c>
      <c r="D88" s="151">
        <v>2114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1719</v>
      </c>
      <c r="D91" s="155">
        <f>SUM(D87:D90)</f>
        <v>2127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5327</v>
      </c>
      <c r="D93" s="155">
        <f>D64+D75+D84+D91+D92</f>
        <v>5559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30220</v>
      </c>
      <c r="D94" s="164">
        <f>D93+D55</f>
        <v>23122</v>
      </c>
      <c r="E94" s="449" t="s">
        <v>270</v>
      </c>
      <c r="F94" s="289" t="s">
        <v>271</v>
      </c>
      <c r="G94" s="165">
        <f>G36+G39+G55+G79</f>
        <v>30220</v>
      </c>
      <c r="H94" s="165">
        <f>H36+H39+H55+H79</f>
        <v>23122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850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 customHeight="1">
      <c r="A98" s="45" t="s">
        <v>272</v>
      </c>
      <c r="B98" s="432"/>
      <c r="C98" s="583" t="s">
        <v>862</v>
      </c>
      <c r="D98" s="583"/>
      <c r="E98" s="583"/>
      <c r="F98" s="170"/>
      <c r="G98" s="171"/>
      <c r="H98" s="172"/>
      <c r="M98" s="157"/>
    </row>
    <row r="99" spans="1:13" ht="15">
      <c r="A99" s="169" t="s">
        <v>864</v>
      </c>
      <c r="C99" s="45"/>
      <c r="D99" s="1"/>
      <c r="E99" s="45"/>
      <c r="F99" s="170"/>
      <c r="G99" s="171"/>
      <c r="H99" s="172"/>
    </row>
    <row r="100" spans="1:13" ht="15" customHeight="1">
      <c r="A100" s="173"/>
      <c r="B100" s="173"/>
      <c r="C100" s="583" t="s">
        <v>863</v>
      </c>
      <c r="D100" s="583"/>
      <c r="E100" s="583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19685039370078741" bottom="0.19685039370078741" header="0.15748031496062992" footer="0.15748031496062992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3" workbookViewId="0">
      <selection activeCell="C33" sqref="C33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7" t="str">
        <f>'справка №1-БАЛАНС'!E3</f>
        <v xml:space="preserve"> МНОГОПРОФИЛНА БОЛНИЦА ЗА АКТИВНО ЛЕЧЕНИЕ РУСЕ АД</v>
      </c>
      <c r="C2" s="587"/>
      <c r="D2" s="587"/>
      <c r="E2" s="587"/>
      <c r="F2" s="589" t="s">
        <v>2</v>
      </c>
      <c r="G2" s="589"/>
      <c r="H2" s="526">
        <f>'справка №1-БАЛАНС'!H3</f>
        <v>118505556</v>
      </c>
    </row>
    <row r="3" spans="1:18" ht="15">
      <c r="A3" s="467" t="s">
        <v>274</v>
      </c>
      <c r="B3" s="587" t="str">
        <f>'справка №1-БАЛАНС'!E4</f>
        <v>КОНСОЛИДИРАН</v>
      </c>
      <c r="C3" s="587"/>
      <c r="D3" s="587"/>
      <c r="E3" s="587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8" t="str">
        <f>'справка №1-БАЛАНС'!E5</f>
        <v>01.01.2016 - 30.06.2016</v>
      </c>
      <c r="C4" s="588"/>
      <c r="D4" s="588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4451</v>
      </c>
      <c r="D9" s="46">
        <v>4421</v>
      </c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876</v>
      </c>
      <c r="D10" s="46">
        <v>857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942</v>
      </c>
      <c r="D11" s="46">
        <v>924</v>
      </c>
      <c r="E11" s="300" t="s">
        <v>292</v>
      </c>
      <c r="F11" s="549" t="s">
        <v>293</v>
      </c>
      <c r="G11" s="550">
        <v>12906</v>
      </c>
      <c r="H11" s="550">
        <v>12463</v>
      </c>
    </row>
    <row r="12" spans="1:18">
      <c r="A12" s="298" t="s">
        <v>294</v>
      </c>
      <c r="B12" s="299" t="s">
        <v>295</v>
      </c>
      <c r="C12" s="46">
        <v>6650</v>
      </c>
      <c r="D12" s="46">
        <v>6218</v>
      </c>
      <c r="E12" s="300" t="s">
        <v>78</v>
      </c>
      <c r="F12" s="549" t="s">
        <v>296</v>
      </c>
      <c r="G12" s="550">
        <v>204</v>
      </c>
      <c r="H12" s="550">
        <v>185</v>
      </c>
    </row>
    <row r="13" spans="1:18">
      <c r="A13" s="298" t="s">
        <v>297</v>
      </c>
      <c r="B13" s="299" t="s">
        <v>298</v>
      </c>
      <c r="C13" s="46">
        <v>1173</v>
      </c>
      <c r="D13" s="46">
        <v>1092</v>
      </c>
      <c r="E13" s="301" t="s">
        <v>51</v>
      </c>
      <c r="F13" s="551" t="s">
        <v>299</v>
      </c>
      <c r="G13" s="548">
        <f>SUM(G9:G12)</f>
        <v>13110</v>
      </c>
      <c r="H13" s="548">
        <f>SUM(H9:H12)</f>
        <v>12648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>
        <v>786</v>
      </c>
      <c r="H15" s="550">
        <v>751</v>
      </c>
    </row>
    <row r="16" spans="1:18">
      <c r="A16" s="298" t="s">
        <v>306</v>
      </c>
      <c r="B16" s="299" t="s">
        <v>307</v>
      </c>
      <c r="C16" s="47">
        <v>158</v>
      </c>
      <c r="D16" s="47">
        <v>148</v>
      </c>
      <c r="E16" s="298" t="s">
        <v>308</v>
      </c>
      <c r="F16" s="552" t="s">
        <v>309</v>
      </c>
      <c r="G16" s="555">
        <v>717</v>
      </c>
      <c r="H16" s="555">
        <v>667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14250</v>
      </c>
      <c r="D19" s="49">
        <f>SUM(D9:D15)+D16</f>
        <v>13660</v>
      </c>
      <c r="E19" s="304" t="s">
        <v>316</v>
      </c>
      <c r="F19" s="552" t="s">
        <v>317</v>
      </c>
      <c r="G19" s="550">
        <v>11</v>
      </c>
      <c r="H19" s="550">
        <v>13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/>
      <c r="D22" s="46">
        <v>1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11</v>
      </c>
      <c r="H24" s="548">
        <f>SUM(H19:H23)</f>
        <v>13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4</v>
      </c>
      <c r="D25" s="46">
        <v>2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4</v>
      </c>
      <c r="D26" s="49">
        <f>SUM(D22:D25)</f>
        <v>3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14254</v>
      </c>
      <c r="D28" s="50">
        <f>D26+D19</f>
        <v>13663</v>
      </c>
      <c r="E28" s="127" t="s">
        <v>338</v>
      </c>
      <c r="F28" s="554" t="s">
        <v>339</v>
      </c>
      <c r="G28" s="548">
        <f>G13+G15+G24</f>
        <v>13907</v>
      </c>
      <c r="H28" s="548">
        <f>H13+H15+H24</f>
        <v>13412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347</v>
      </c>
      <c r="H30" s="53">
        <f>IF((D28-H28)&gt;0,D28-H28,0)</f>
        <v>251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851</v>
      </c>
      <c r="B31" s="306" t="s">
        <v>344</v>
      </c>
      <c r="C31" s="46"/>
      <c r="D31" s="46"/>
      <c r="E31" s="296" t="s">
        <v>854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14254</v>
      </c>
      <c r="D33" s="49">
        <f>D28-D31+D32</f>
        <v>13663</v>
      </c>
      <c r="E33" s="127" t="s">
        <v>352</v>
      </c>
      <c r="F33" s="554" t="s">
        <v>353</v>
      </c>
      <c r="G33" s="53">
        <f>G32-G31+G28</f>
        <v>13907</v>
      </c>
      <c r="H33" s="53">
        <f>H32-H31+H28</f>
        <v>13412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347</v>
      </c>
      <c r="H34" s="548">
        <f>IF((D33-H33)&gt;0,D33-H33,0)</f>
        <v>251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0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347</v>
      </c>
      <c r="H39" s="559">
        <f>IF(H34&gt;0,IF(D35+H34&lt;0,0,D35+H34),IF(D34-D35&lt;0,D35-D34,0))</f>
        <v>251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347</v>
      </c>
      <c r="H41" s="52">
        <f>IF(D39=0,IF(H39-H40&gt;0,H39-H40+D40,0),IF(D39-D40&lt;0,D40-D39+H40,0))</f>
        <v>251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14254</v>
      </c>
      <c r="D42" s="53">
        <f>D33+D35+D39</f>
        <v>13663</v>
      </c>
      <c r="E42" s="128" t="s">
        <v>379</v>
      </c>
      <c r="F42" s="129" t="s">
        <v>380</v>
      </c>
      <c r="G42" s="53">
        <f>G39+G33</f>
        <v>14254</v>
      </c>
      <c r="H42" s="53">
        <f>H39+H33</f>
        <v>13663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90" t="s">
        <v>858</v>
      </c>
      <c r="B45" s="590"/>
      <c r="C45" s="590"/>
      <c r="D45" s="590"/>
      <c r="E45" s="590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42580</v>
      </c>
      <c r="C48" s="427" t="s">
        <v>382</v>
      </c>
      <c r="D48" s="585" t="s">
        <v>865</v>
      </c>
      <c r="E48" s="585"/>
      <c r="F48" s="585"/>
      <c r="G48" s="585"/>
      <c r="H48" s="585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781</v>
      </c>
      <c r="D50" s="586" t="s">
        <v>866</v>
      </c>
      <c r="E50" s="586"/>
      <c r="F50" s="586"/>
      <c r="G50" s="586"/>
      <c r="H50" s="586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3.937007874015748E-2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3" workbookViewId="0">
      <selection activeCell="D47" sqref="D4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 xml:space="preserve"> МНОГОПРОФИЛНА БОЛНИЦА ЗА АКТИВНО ЛЕЧЕНИЕ РУСЕ АД</v>
      </c>
      <c r="C4" s="541" t="s">
        <v>2</v>
      </c>
      <c r="D4" s="541">
        <f>'справка №1-БАЛАНС'!H3</f>
        <v>118505556</v>
      </c>
      <c r="E4" s="323"/>
      <c r="F4" s="323"/>
    </row>
    <row r="5" spans="1:13" ht="15">
      <c r="A5" s="470" t="s">
        <v>274</v>
      </c>
      <c r="B5" s="470" t="str">
        <f>'справка №1-БАЛАНС'!E4</f>
        <v>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275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13483</v>
      </c>
      <c r="D10" s="54">
        <v>13377</v>
      </c>
      <c r="E10" s="130"/>
      <c r="F10" s="130"/>
    </row>
    <row r="11" spans="1:13">
      <c r="A11" s="332" t="s">
        <v>389</v>
      </c>
      <c r="B11" s="333" t="s">
        <v>390</v>
      </c>
      <c r="C11" s="54">
        <v>-5489</v>
      </c>
      <c r="D11" s="54">
        <v>-5576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-7973</v>
      </c>
      <c r="D13" s="54">
        <v>-7359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-218</v>
      </c>
      <c r="D14" s="54">
        <v>-56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>
        <v>11</v>
      </c>
      <c r="D16" s="54">
        <v>13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>
        <v>-4</v>
      </c>
      <c r="D17" s="54">
        <v>-3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-93</v>
      </c>
      <c r="D19" s="54">
        <v>-104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-283</v>
      </c>
      <c r="D20" s="55">
        <f>SUM(D10:D19)</f>
        <v>292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-456</v>
      </c>
      <c r="D22" s="54">
        <v>-268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328</v>
      </c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-128</v>
      </c>
      <c r="D32" s="55">
        <f>SUM(D22:D31)</f>
        <v>-268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/>
      <c r="D37" s="54"/>
      <c r="E37" s="130"/>
      <c r="F37" s="130"/>
    </row>
    <row r="38" spans="1:8">
      <c r="A38" s="332" t="s">
        <v>440</v>
      </c>
      <c r="B38" s="333" t="s">
        <v>441</v>
      </c>
      <c r="C38" s="54">
        <v>-2</v>
      </c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>
        <v>5</v>
      </c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3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-408</v>
      </c>
      <c r="D43" s="55">
        <f>D42+D32+D20</f>
        <v>24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2127</v>
      </c>
      <c r="D44" s="132">
        <v>2072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1719</v>
      </c>
      <c r="D45" s="55">
        <f>D44+D43</f>
        <v>2096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f>'справка №1-БАЛАНС'!C91</f>
        <v>1719</v>
      </c>
      <c r="D46" s="56">
        <v>2096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381</v>
      </c>
      <c r="B49" s="436"/>
      <c r="C49" s="319"/>
      <c r="D49" s="437"/>
      <c r="E49" s="343"/>
      <c r="G49" s="133"/>
      <c r="H49" s="133"/>
    </row>
    <row r="50" spans="1:8">
      <c r="A50" s="318" t="s">
        <v>864</v>
      </c>
      <c r="B50" s="436" t="s">
        <v>862</v>
      </c>
      <c r="C50" s="591"/>
      <c r="D50" s="591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863</v>
      </c>
      <c r="C52" s="591"/>
      <c r="D52" s="591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39370078740157483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3" workbookViewId="0">
      <selection activeCell="L33" sqref="L33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2" t="s">
        <v>460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4" t="str">
        <f>'справка №1-БАЛАНС'!E3</f>
        <v xml:space="preserve"> МНОГОПРОФИЛНА БОЛНИЦА ЗА АКТИВНО ЛЕЧЕНИЕ РУСЕ АД</v>
      </c>
      <c r="C3" s="594"/>
      <c r="D3" s="594"/>
      <c r="E3" s="594"/>
      <c r="F3" s="594"/>
      <c r="G3" s="594"/>
      <c r="H3" s="594"/>
      <c r="I3" s="594"/>
      <c r="J3" s="476"/>
      <c r="K3" s="596" t="s">
        <v>2</v>
      </c>
      <c r="L3" s="596"/>
      <c r="M3" s="478">
        <f>'справка №1-БАЛАНС'!H3</f>
        <v>118505556</v>
      </c>
      <c r="N3" s="2"/>
    </row>
    <row r="4" spans="1:23" s="532" customFormat="1" ht="13.5" customHeight="1">
      <c r="A4" s="467" t="s">
        <v>461</v>
      </c>
      <c r="B4" s="594" t="str">
        <f>'справка №1-БАЛАНС'!E4</f>
        <v>КОНСОЛИДИРАН</v>
      </c>
      <c r="C4" s="594"/>
      <c r="D4" s="594"/>
      <c r="E4" s="594"/>
      <c r="F4" s="594"/>
      <c r="G4" s="594"/>
      <c r="H4" s="594"/>
      <c r="I4" s="594"/>
      <c r="J4" s="136"/>
      <c r="K4" s="597" t="s">
        <v>4</v>
      </c>
      <c r="L4" s="597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8" t="str">
        <f>'справка №1-БАЛАНС'!E5</f>
        <v>01.01.2016 - 30.06.2016</v>
      </c>
      <c r="C5" s="598"/>
      <c r="D5" s="598"/>
      <c r="E5" s="598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16584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53</v>
      </c>
      <c r="G11" s="58">
        <f>'справка №1-БАЛАНС'!H23</f>
        <v>0</v>
      </c>
      <c r="H11" s="60">
        <v>143</v>
      </c>
      <c r="I11" s="58">
        <f>'справка №1-БАЛАНС'!H28+'справка №1-БАЛАНС'!H31</f>
        <v>2629</v>
      </c>
      <c r="J11" s="58">
        <f>'справка №1-БАЛАНС'!H29+'справка №1-БАЛАНС'!H32</f>
        <v>-3116</v>
      </c>
      <c r="K11" s="60"/>
      <c r="L11" s="344">
        <f>SUM(C11:K11)</f>
        <v>16293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16584</v>
      </c>
      <c r="D15" s="61">
        <f t="shared" ref="D15:M15" si="2">D11+D12</f>
        <v>0</v>
      </c>
      <c r="E15" s="61">
        <f t="shared" si="2"/>
        <v>0</v>
      </c>
      <c r="F15" s="61">
        <f t="shared" si="2"/>
        <v>53</v>
      </c>
      <c r="G15" s="61">
        <f t="shared" si="2"/>
        <v>0</v>
      </c>
      <c r="H15" s="61">
        <f t="shared" si="2"/>
        <v>143</v>
      </c>
      <c r="I15" s="61">
        <f t="shared" si="2"/>
        <v>2629</v>
      </c>
      <c r="J15" s="61">
        <f t="shared" si="2"/>
        <v>-3116</v>
      </c>
      <c r="K15" s="61">
        <f t="shared" si="2"/>
        <v>0</v>
      </c>
      <c r="L15" s="344">
        <f t="shared" si="1"/>
        <v>16293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-347</v>
      </c>
      <c r="K16" s="60"/>
      <c r="L16" s="344">
        <f t="shared" si="1"/>
        <v>-347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>
        <v>7761</v>
      </c>
      <c r="D28" s="60"/>
      <c r="E28" s="60"/>
      <c r="F28" s="60"/>
      <c r="G28" s="60"/>
      <c r="H28" s="60"/>
      <c r="I28" s="60">
        <v>6</v>
      </c>
      <c r="J28" s="60"/>
      <c r="K28" s="60"/>
      <c r="L28" s="344">
        <f t="shared" si="1"/>
        <v>7767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24345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53</v>
      </c>
      <c r="G29" s="59">
        <f t="shared" si="6"/>
        <v>0</v>
      </c>
      <c r="H29" s="59">
        <f t="shared" si="6"/>
        <v>143</v>
      </c>
      <c r="I29" s="59">
        <f t="shared" si="6"/>
        <v>2635</v>
      </c>
      <c r="J29" s="59">
        <f t="shared" si="6"/>
        <v>-3463</v>
      </c>
      <c r="K29" s="59">
        <f t="shared" si="6"/>
        <v>0</v>
      </c>
      <c r="L29" s="344">
        <f t="shared" si="1"/>
        <v>23713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24345</v>
      </c>
      <c r="D32" s="59">
        <f t="shared" si="7"/>
        <v>0</v>
      </c>
      <c r="E32" s="59">
        <f t="shared" si="7"/>
        <v>0</v>
      </c>
      <c r="F32" s="59">
        <f t="shared" si="7"/>
        <v>53</v>
      </c>
      <c r="G32" s="59">
        <f t="shared" si="7"/>
        <v>0</v>
      </c>
      <c r="H32" s="59">
        <f t="shared" si="7"/>
        <v>143</v>
      </c>
      <c r="I32" s="59">
        <f t="shared" si="7"/>
        <v>2635</v>
      </c>
      <c r="J32" s="59">
        <f t="shared" si="7"/>
        <v>-3463</v>
      </c>
      <c r="K32" s="59">
        <f t="shared" si="7"/>
        <v>0</v>
      </c>
      <c r="L32" s="344">
        <f t="shared" si="1"/>
        <v>23713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57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5" t="s">
        <v>859</v>
      </c>
      <c r="B35" s="595"/>
      <c r="C35" s="595"/>
      <c r="D35" s="595"/>
      <c r="E35" s="595"/>
      <c r="F35" s="595"/>
      <c r="G35" s="595"/>
      <c r="H35" s="595"/>
      <c r="I35" s="595"/>
      <c r="J35" s="595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867</v>
      </c>
      <c r="B38" s="19"/>
      <c r="C38" s="15"/>
      <c r="D38" s="593" t="s">
        <v>819</v>
      </c>
      <c r="E38" s="593"/>
      <c r="F38" s="593"/>
      <c r="G38" s="593"/>
      <c r="H38" s="593"/>
      <c r="I38" s="593"/>
      <c r="J38" s="15" t="s">
        <v>868</v>
      </c>
      <c r="K38" s="15"/>
      <c r="L38" s="593"/>
      <c r="M38" s="593"/>
      <c r="N38" s="11"/>
    </row>
    <row r="39" spans="1:14">
      <c r="A39" s="536"/>
      <c r="B39" s="537"/>
      <c r="C39" s="538"/>
      <c r="D39" s="538" t="s">
        <v>865</v>
      </c>
      <c r="E39" s="538"/>
      <c r="F39" s="538"/>
      <c r="G39" s="538"/>
      <c r="H39" s="538"/>
      <c r="I39" s="538"/>
      <c r="J39" s="538" t="s">
        <v>866</v>
      </c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0" workbookViewId="0">
      <selection activeCell="L21" sqref="L21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9" t="s">
        <v>384</v>
      </c>
      <c r="B2" s="600"/>
      <c r="C2" s="601" t="str">
        <f>'справка №1-БАЛАНС'!E3</f>
        <v xml:space="preserve"> МНОГОПРОФИЛНА БОЛНИЦА ЗА АКТИВНО ЛЕЧЕНИЕ РУСЕ АД</v>
      </c>
      <c r="D2" s="601"/>
      <c r="E2" s="601"/>
      <c r="F2" s="601"/>
      <c r="G2" s="601"/>
      <c r="H2" s="601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118505556</v>
      </c>
      <c r="P2" s="483"/>
      <c r="Q2" s="483"/>
      <c r="R2" s="526"/>
    </row>
    <row r="3" spans="1:28" ht="15">
      <c r="A3" s="599" t="s">
        <v>5</v>
      </c>
      <c r="B3" s="600"/>
      <c r="C3" s="602" t="str">
        <f>'справка №1-БАЛАНС'!E5</f>
        <v>01.01.2016 - 30.06.2016</v>
      </c>
      <c r="D3" s="602"/>
      <c r="E3" s="602"/>
      <c r="F3" s="485"/>
      <c r="G3" s="485"/>
      <c r="H3" s="485"/>
      <c r="I3" s="485"/>
      <c r="J3" s="485"/>
      <c r="K3" s="485"/>
      <c r="L3" s="485"/>
      <c r="M3" s="607" t="s">
        <v>4</v>
      </c>
      <c r="N3" s="607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8" t="s">
        <v>464</v>
      </c>
      <c r="B5" s="609"/>
      <c r="C5" s="612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5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5" t="s">
        <v>529</v>
      </c>
      <c r="R5" s="605" t="s">
        <v>530</v>
      </c>
    </row>
    <row r="6" spans="1:28" s="100" customFormat="1" ht="48">
      <c r="A6" s="610"/>
      <c r="B6" s="611"/>
      <c r="C6" s="613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6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6"/>
      <c r="R6" s="606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343</v>
      </c>
      <c r="E9" s="189"/>
      <c r="F9" s="189"/>
      <c r="G9" s="74">
        <f>D9+E9-F9</f>
        <v>343</v>
      </c>
      <c r="H9" s="65"/>
      <c r="I9" s="65"/>
      <c r="J9" s="74">
        <f>G9+H9-I9</f>
        <v>343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343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>
        <v>15870</v>
      </c>
      <c r="E10" s="189">
        <v>804</v>
      </c>
      <c r="F10" s="189"/>
      <c r="G10" s="74">
        <f t="shared" ref="G10:G39" si="2">D10+E10-F10</f>
        <v>16674</v>
      </c>
      <c r="H10" s="65"/>
      <c r="I10" s="65"/>
      <c r="J10" s="74">
        <f t="shared" ref="J10:J39" si="3">G10+H10-I10</f>
        <v>16674</v>
      </c>
      <c r="K10" s="65">
        <v>2789</v>
      </c>
      <c r="L10" s="65">
        <v>182</v>
      </c>
      <c r="M10" s="65"/>
      <c r="N10" s="74">
        <f t="shared" ref="N10:N39" si="4">K10+L10-M10</f>
        <v>2971</v>
      </c>
      <c r="O10" s="65"/>
      <c r="P10" s="65"/>
      <c r="Q10" s="74">
        <f t="shared" si="0"/>
        <v>2971</v>
      </c>
      <c r="R10" s="74">
        <f t="shared" si="1"/>
        <v>13703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f>19164+12</f>
        <v>19176</v>
      </c>
      <c r="E11" s="189">
        <v>7445</v>
      </c>
      <c r="F11" s="189"/>
      <c r="G11" s="74">
        <f t="shared" si="2"/>
        <v>26621</v>
      </c>
      <c r="H11" s="65"/>
      <c r="I11" s="65"/>
      <c r="J11" s="74">
        <f t="shared" si="3"/>
        <v>26621</v>
      </c>
      <c r="K11" s="65">
        <f>17093+12</f>
        <v>17105</v>
      </c>
      <c r="L11" s="65">
        <v>615</v>
      </c>
      <c r="M11" s="65"/>
      <c r="N11" s="74">
        <f t="shared" si="4"/>
        <v>17720</v>
      </c>
      <c r="O11" s="65"/>
      <c r="P11" s="65"/>
      <c r="Q11" s="74">
        <f t="shared" si="0"/>
        <v>17720</v>
      </c>
      <c r="R11" s="74">
        <f t="shared" si="1"/>
        <v>8901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1523</v>
      </c>
      <c r="E12" s="189"/>
      <c r="F12" s="189"/>
      <c r="G12" s="74">
        <f t="shared" si="2"/>
        <v>1523</v>
      </c>
      <c r="H12" s="65"/>
      <c r="I12" s="65"/>
      <c r="J12" s="74">
        <f t="shared" si="3"/>
        <v>1523</v>
      </c>
      <c r="K12" s="65">
        <v>723</v>
      </c>
      <c r="L12" s="65">
        <v>68</v>
      </c>
      <c r="M12" s="65"/>
      <c r="N12" s="74">
        <f t="shared" si="4"/>
        <v>791</v>
      </c>
      <c r="O12" s="65"/>
      <c r="P12" s="65"/>
      <c r="Q12" s="74">
        <f t="shared" si="0"/>
        <v>791</v>
      </c>
      <c r="R12" s="74">
        <f t="shared" si="1"/>
        <v>732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>
        <v>246</v>
      </c>
      <c r="E13" s="189">
        <v>15</v>
      </c>
      <c r="F13" s="189"/>
      <c r="G13" s="74">
        <f t="shared" si="2"/>
        <v>261</v>
      </c>
      <c r="H13" s="65"/>
      <c r="I13" s="65"/>
      <c r="J13" s="74">
        <f t="shared" si="3"/>
        <v>261</v>
      </c>
      <c r="K13" s="65">
        <v>227</v>
      </c>
      <c r="L13" s="65">
        <v>6</v>
      </c>
      <c r="M13" s="65"/>
      <c r="N13" s="74">
        <f t="shared" si="4"/>
        <v>233</v>
      </c>
      <c r="O13" s="65"/>
      <c r="P13" s="65"/>
      <c r="Q13" s="74">
        <f t="shared" si="0"/>
        <v>233</v>
      </c>
      <c r="R13" s="74">
        <f t="shared" si="1"/>
        <v>28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>
        <v>1113</v>
      </c>
      <c r="E14" s="189">
        <v>25</v>
      </c>
      <c r="F14" s="189"/>
      <c r="G14" s="74">
        <f t="shared" si="2"/>
        <v>1138</v>
      </c>
      <c r="H14" s="65"/>
      <c r="I14" s="65"/>
      <c r="J14" s="74">
        <f t="shared" si="3"/>
        <v>1138</v>
      </c>
      <c r="K14" s="65">
        <v>708</v>
      </c>
      <c r="L14" s="65">
        <v>63</v>
      </c>
      <c r="M14" s="65"/>
      <c r="N14" s="74">
        <f t="shared" si="4"/>
        <v>771</v>
      </c>
      <c r="O14" s="65"/>
      <c r="P14" s="65"/>
      <c r="Q14" s="74">
        <f t="shared" si="0"/>
        <v>771</v>
      </c>
      <c r="R14" s="74">
        <f t="shared" si="1"/>
        <v>367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855</v>
      </c>
      <c r="B15" s="374" t="s">
        <v>856</v>
      </c>
      <c r="C15" s="456" t="s">
        <v>857</v>
      </c>
      <c r="D15" s="457">
        <v>491</v>
      </c>
      <c r="E15" s="457">
        <v>364</v>
      </c>
      <c r="F15" s="457">
        <v>399</v>
      </c>
      <c r="G15" s="74">
        <f t="shared" si="2"/>
        <v>456</v>
      </c>
      <c r="H15" s="458"/>
      <c r="I15" s="458"/>
      <c r="J15" s="74">
        <f t="shared" si="3"/>
        <v>456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456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38762</v>
      </c>
      <c r="E17" s="194">
        <f>SUM(E9:E16)</f>
        <v>8653</v>
      </c>
      <c r="F17" s="194">
        <f>SUM(F9:F16)</f>
        <v>399</v>
      </c>
      <c r="G17" s="74">
        <f t="shared" si="2"/>
        <v>47016</v>
      </c>
      <c r="H17" s="75">
        <f>SUM(H9:H16)</f>
        <v>0</v>
      </c>
      <c r="I17" s="75">
        <f>SUM(I9:I16)</f>
        <v>0</v>
      </c>
      <c r="J17" s="74">
        <f t="shared" si="3"/>
        <v>47016</v>
      </c>
      <c r="K17" s="75">
        <f>SUM(K9:K16)</f>
        <v>21552</v>
      </c>
      <c r="L17" s="75">
        <f>SUM(L9:L16)</f>
        <v>934</v>
      </c>
      <c r="M17" s="75">
        <f>SUM(M9:M16)</f>
        <v>0</v>
      </c>
      <c r="N17" s="74">
        <f t="shared" si="4"/>
        <v>22486</v>
      </c>
      <c r="O17" s="75">
        <f>SUM(O9:O16)</f>
        <v>0</v>
      </c>
      <c r="P17" s="75">
        <f>SUM(P9:P16)</f>
        <v>0</v>
      </c>
      <c r="Q17" s="74">
        <f t="shared" si="5"/>
        <v>22486</v>
      </c>
      <c r="R17" s="74">
        <f t="shared" si="6"/>
        <v>24530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>
        <f>99+12</f>
        <v>111</v>
      </c>
      <c r="E21" s="189">
        <v>10</v>
      </c>
      <c r="F21" s="189"/>
      <c r="G21" s="74">
        <f t="shared" si="2"/>
        <v>121</v>
      </c>
      <c r="H21" s="65"/>
      <c r="I21" s="65"/>
      <c r="J21" s="74">
        <f t="shared" si="3"/>
        <v>121</v>
      </c>
      <c r="K21" s="65">
        <f>91+5</f>
        <v>96</v>
      </c>
      <c r="L21" s="65">
        <f>3+1</f>
        <v>4</v>
      </c>
      <c r="M21" s="65"/>
      <c r="N21" s="74">
        <f t="shared" si="4"/>
        <v>100</v>
      </c>
      <c r="O21" s="65"/>
      <c r="P21" s="65"/>
      <c r="Q21" s="74">
        <f t="shared" si="5"/>
        <v>100</v>
      </c>
      <c r="R21" s="74">
        <f t="shared" si="6"/>
        <v>21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>
        <v>271</v>
      </c>
      <c r="E22" s="189">
        <v>8</v>
      </c>
      <c r="F22" s="189"/>
      <c r="G22" s="74">
        <f t="shared" si="2"/>
        <v>279</v>
      </c>
      <c r="H22" s="65"/>
      <c r="I22" s="65"/>
      <c r="J22" s="74">
        <f t="shared" si="3"/>
        <v>279</v>
      </c>
      <c r="K22" s="65">
        <v>261</v>
      </c>
      <c r="L22" s="65">
        <v>4</v>
      </c>
      <c r="M22" s="65"/>
      <c r="N22" s="74">
        <f t="shared" si="4"/>
        <v>265</v>
      </c>
      <c r="O22" s="65"/>
      <c r="P22" s="65"/>
      <c r="Q22" s="74">
        <f t="shared" si="5"/>
        <v>265</v>
      </c>
      <c r="R22" s="74">
        <f t="shared" si="6"/>
        <v>14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582</v>
      </c>
      <c r="D25" s="190">
        <f>SUM(D21:D24)</f>
        <v>382</v>
      </c>
      <c r="E25" s="190">
        <f t="shared" ref="E25:P25" si="7">SUM(E21:E24)</f>
        <v>18</v>
      </c>
      <c r="F25" s="190">
        <f t="shared" si="7"/>
        <v>0</v>
      </c>
      <c r="G25" s="67">
        <f t="shared" si="2"/>
        <v>400</v>
      </c>
      <c r="H25" s="66">
        <f t="shared" si="7"/>
        <v>0</v>
      </c>
      <c r="I25" s="66">
        <f t="shared" si="7"/>
        <v>0</v>
      </c>
      <c r="J25" s="67">
        <f t="shared" si="3"/>
        <v>400</v>
      </c>
      <c r="K25" s="66">
        <f t="shared" si="7"/>
        <v>357</v>
      </c>
      <c r="L25" s="66">
        <f t="shared" si="7"/>
        <v>8</v>
      </c>
      <c r="M25" s="66">
        <f t="shared" si="7"/>
        <v>0</v>
      </c>
      <c r="N25" s="67">
        <f t="shared" si="4"/>
        <v>365</v>
      </c>
      <c r="O25" s="66">
        <f t="shared" si="7"/>
        <v>0</v>
      </c>
      <c r="P25" s="66">
        <f t="shared" si="7"/>
        <v>0</v>
      </c>
      <c r="Q25" s="67">
        <f t="shared" si="5"/>
        <v>365</v>
      </c>
      <c r="R25" s="67">
        <f t="shared" si="6"/>
        <v>35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852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853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39144</v>
      </c>
      <c r="E40" s="438">
        <f>E17+E18+E19+E25+E38+E39</f>
        <v>8671</v>
      </c>
      <c r="F40" s="438">
        <f t="shared" ref="F40:R40" si="13">F17+F18+F19+F25+F38+F39</f>
        <v>399</v>
      </c>
      <c r="G40" s="438">
        <f t="shared" si="13"/>
        <v>47416</v>
      </c>
      <c r="H40" s="438">
        <f t="shared" si="13"/>
        <v>0</v>
      </c>
      <c r="I40" s="438">
        <f t="shared" si="13"/>
        <v>0</v>
      </c>
      <c r="J40" s="438">
        <f t="shared" si="13"/>
        <v>47416</v>
      </c>
      <c r="K40" s="438">
        <f t="shared" si="13"/>
        <v>21909</v>
      </c>
      <c r="L40" s="438">
        <f t="shared" si="13"/>
        <v>942</v>
      </c>
      <c r="M40" s="438">
        <f t="shared" si="13"/>
        <v>0</v>
      </c>
      <c r="N40" s="438">
        <f t="shared" si="13"/>
        <v>22851</v>
      </c>
      <c r="O40" s="438">
        <f t="shared" si="13"/>
        <v>0</v>
      </c>
      <c r="P40" s="438">
        <f t="shared" si="13"/>
        <v>0</v>
      </c>
      <c r="Q40" s="438">
        <f t="shared" si="13"/>
        <v>22851</v>
      </c>
      <c r="R40" s="438">
        <f t="shared" si="13"/>
        <v>24565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869</v>
      </c>
      <c r="C44" s="354"/>
      <c r="D44" s="355"/>
      <c r="E44" s="355"/>
      <c r="F44" s="355"/>
      <c r="G44" s="351"/>
      <c r="H44" s="356" t="s">
        <v>870</v>
      </c>
      <c r="I44" s="356"/>
      <c r="J44" s="356"/>
      <c r="K44" s="614"/>
      <c r="L44" s="614"/>
      <c r="M44" s="614"/>
      <c r="N44" s="614"/>
      <c r="O44" s="603" t="s">
        <v>781</v>
      </c>
      <c r="P44" s="604"/>
      <c r="Q44" s="604"/>
      <c r="R44" s="604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 t="s">
        <v>865</v>
      </c>
      <c r="K45" s="349"/>
      <c r="L45" s="349"/>
      <c r="M45" s="349"/>
      <c r="N45" s="349"/>
      <c r="O45" s="349" t="s">
        <v>866</v>
      </c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C97" sqref="C97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8" t="s">
        <v>608</v>
      </c>
      <c r="B1" s="618"/>
      <c r="C1" s="618"/>
      <c r="D1" s="618"/>
      <c r="E1" s="618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21" t="str">
        <f>'справка №1-БАЛАНС'!E3</f>
        <v xml:space="preserve"> МНОГОПРОФИЛНА БОЛНИЦА ЗА АКТИВНО ЛЕЧЕНИЕ РУСЕ АД</v>
      </c>
      <c r="C3" s="622"/>
      <c r="D3" s="526" t="s">
        <v>2</v>
      </c>
      <c r="E3" s="107">
        <f>'справка №1-БАЛАНС'!H3</f>
        <v>118505556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9" t="str">
        <f>'справка №1-БАЛАНС'!E5</f>
        <v>01.01.2016 - 30.06.2016</v>
      </c>
      <c r="C4" s="620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609</v>
      </c>
      <c r="B5" s="496"/>
      <c r="C5" s="497"/>
      <c r="D5" s="107"/>
      <c r="E5" s="498" t="s">
        <v>610</v>
      </c>
    </row>
    <row r="6" spans="1:15" s="100" customFormat="1">
      <c r="A6" s="389" t="s">
        <v>464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/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f>2770+39</f>
        <v>2809</v>
      </c>
      <c r="D28" s="108">
        <v>2809</v>
      </c>
      <c r="E28" s="120">
        <f t="shared" si="0"/>
        <v>0</v>
      </c>
      <c r="F28" s="106"/>
    </row>
    <row r="29" spans="1:15">
      <c r="A29" s="396" t="s">
        <v>649</v>
      </c>
      <c r="B29" s="397" t="s">
        <v>650</v>
      </c>
      <c r="C29" s="108">
        <v>38</v>
      </c>
      <c r="D29" s="108">
        <v>38</v>
      </c>
      <c r="E29" s="120">
        <f t="shared" si="0"/>
        <v>0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>
        <v>46</v>
      </c>
      <c r="D31" s="108">
        <v>46</v>
      </c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>
        <v>47</v>
      </c>
      <c r="D32" s="108">
        <v>47</v>
      </c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64</v>
      </c>
      <c r="D38" s="105">
        <f>SUM(D39:D42)</f>
        <v>64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>
        <v>64</v>
      </c>
      <c r="D42" s="108">
        <v>64</v>
      </c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3004</v>
      </c>
      <c r="D43" s="104">
        <f>D24+D28+D29+D31+D30+D32+D33+D38</f>
        <v>3004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3004</v>
      </c>
      <c r="D44" s="103">
        <f>D43+D21+D19+D9</f>
        <v>3004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464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/>
      <c r="D53" s="108"/>
      <c r="E53" s="119">
        <f>C53-D53</f>
        <v>0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>
        <v>12</v>
      </c>
      <c r="D64" s="108">
        <v>3</v>
      </c>
      <c r="E64" s="119">
        <f t="shared" si="1"/>
        <v>9</v>
      </c>
      <c r="F64" s="110"/>
    </row>
    <row r="65" spans="1:16">
      <c r="A65" s="396" t="s">
        <v>708</v>
      </c>
      <c r="B65" s="397" t="s">
        <v>709</v>
      </c>
      <c r="C65" s="109">
        <v>12</v>
      </c>
      <c r="D65" s="109">
        <v>3</v>
      </c>
      <c r="E65" s="119">
        <f t="shared" si="1"/>
        <v>9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12</v>
      </c>
      <c r="D66" s="103">
        <f>D52+D56+D61+D62+D63+D64</f>
        <v>3</v>
      </c>
      <c r="E66" s="119">
        <f t="shared" si="1"/>
        <v>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3705</v>
      </c>
      <c r="D85" s="104">
        <f>SUM(D86:D90)+D94</f>
        <v>3699</v>
      </c>
      <c r="E85" s="104">
        <f>SUM(E86:E90)+E94</f>
        <v>6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>
        <v>2414</v>
      </c>
      <c r="D87" s="108">
        <v>2414</v>
      </c>
      <c r="E87" s="119">
        <f t="shared" si="1"/>
        <v>0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>
        <v>737</v>
      </c>
      <c r="D89" s="108">
        <v>737</v>
      </c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200</v>
      </c>
      <c r="D90" s="103">
        <f>SUM(D91:D93)</f>
        <v>200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6</v>
      </c>
      <c r="D92" s="108">
        <v>6</v>
      </c>
      <c r="E92" s="119">
        <f t="shared" si="1"/>
        <v>0</v>
      </c>
      <c r="F92" s="108"/>
    </row>
    <row r="93" spans="1:16">
      <c r="A93" s="396" t="s">
        <v>665</v>
      </c>
      <c r="B93" s="397" t="s">
        <v>756</v>
      </c>
      <c r="C93" s="108">
        <v>194</v>
      </c>
      <c r="D93" s="108">
        <v>194</v>
      </c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>
        <v>354</v>
      </c>
      <c r="D94" s="108">
        <v>348</v>
      </c>
      <c r="E94" s="119">
        <f t="shared" si="1"/>
        <v>6</v>
      </c>
      <c r="F94" s="108"/>
    </row>
    <row r="95" spans="1:16">
      <c r="A95" s="396" t="s">
        <v>759</v>
      </c>
      <c r="B95" s="397" t="s">
        <v>760</v>
      </c>
      <c r="C95" s="108">
        <v>65</v>
      </c>
      <c r="D95" s="108">
        <v>65</v>
      </c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3770</v>
      </c>
      <c r="D96" s="104">
        <f>D85+D80+D75+D71+D95</f>
        <v>3764</v>
      </c>
      <c r="E96" s="104">
        <f>E85+E80+E75+E71+E95</f>
        <v>6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3782</v>
      </c>
      <c r="D97" s="104">
        <f>D96+D68+D66</f>
        <v>3767</v>
      </c>
      <c r="E97" s="104">
        <f>E96+E68+E66</f>
        <v>15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>
        <v>595</v>
      </c>
      <c r="D104" s="108"/>
      <c r="E104" s="108">
        <v>47</v>
      </c>
      <c r="F104" s="125">
        <f>C104+D104-E104</f>
        <v>548</v>
      </c>
    </row>
    <row r="105" spans="1:27">
      <c r="A105" s="412" t="s">
        <v>776</v>
      </c>
      <c r="B105" s="395" t="s">
        <v>777</v>
      </c>
      <c r="C105" s="103">
        <f>SUM(C102:C104)</f>
        <v>595</v>
      </c>
      <c r="D105" s="103">
        <f>SUM(D102:D104)</f>
        <v>0</v>
      </c>
      <c r="E105" s="103">
        <f>SUM(E102:E104)</f>
        <v>47</v>
      </c>
      <c r="F105" s="103">
        <f>SUM(F102:F104)</f>
        <v>548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7" t="s">
        <v>779</v>
      </c>
      <c r="B107" s="617"/>
      <c r="C107" s="617"/>
      <c r="D107" s="617"/>
      <c r="E107" s="617"/>
      <c r="F107" s="617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6" t="s">
        <v>780</v>
      </c>
      <c r="B109" s="616"/>
      <c r="C109" s="616" t="s">
        <v>862</v>
      </c>
      <c r="D109" s="616"/>
      <c r="E109" s="616"/>
      <c r="F109" s="616"/>
    </row>
    <row r="110" spans="1:27">
      <c r="A110" s="576">
        <v>42580</v>
      </c>
      <c r="B110" s="386"/>
      <c r="C110" s="385"/>
      <c r="D110" s="385"/>
      <c r="E110" s="385"/>
      <c r="F110" s="387"/>
    </row>
    <row r="111" spans="1:27">
      <c r="A111" s="385"/>
      <c r="B111" s="386"/>
      <c r="C111" s="615" t="s">
        <v>863</v>
      </c>
      <c r="D111" s="615"/>
      <c r="E111" s="615"/>
      <c r="F111" s="615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D31" sqref="D31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3" t="str">
        <f>'справка №1-БАЛАНС'!E3</f>
        <v xml:space="preserve"> МНОГОПРОФИЛНА БОЛНИЦА ЗА АКТИВНО ЛЕЧЕНИЕ РУСЕ АД</v>
      </c>
      <c r="C4" s="623"/>
      <c r="D4" s="623"/>
      <c r="E4" s="623"/>
      <c r="F4" s="623"/>
      <c r="G4" s="629" t="s">
        <v>2</v>
      </c>
      <c r="H4" s="629"/>
      <c r="I4" s="500">
        <f>'справка №1-БАЛАНС'!H3</f>
        <v>118505556</v>
      </c>
    </row>
    <row r="5" spans="1:9" ht="15">
      <c r="A5" s="501" t="s">
        <v>5</v>
      </c>
      <c r="B5" s="624" t="str">
        <f>'справка №1-БАЛАНС'!E5</f>
        <v>01.01.2016 - 30.06.2016</v>
      </c>
      <c r="C5" s="624"/>
      <c r="D5" s="624"/>
      <c r="E5" s="624"/>
      <c r="F5" s="624"/>
      <c r="G5" s="627" t="s">
        <v>4</v>
      </c>
      <c r="H5" s="628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784</v>
      </c>
    </row>
    <row r="7" spans="1:9" s="520" customFormat="1">
      <c r="A7" s="140" t="s">
        <v>464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794</v>
      </c>
      <c r="B12" s="90" t="s">
        <v>795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798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803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809</v>
      </c>
      <c r="B22" s="90" t="s">
        <v>810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780</v>
      </c>
      <c r="B30" s="626"/>
      <c r="C30" s="626"/>
      <c r="D30" s="459" t="s">
        <v>819</v>
      </c>
      <c r="E30" s="625"/>
      <c r="F30" s="625"/>
      <c r="G30" s="625"/>
      <c r="H30" s="420" t="s">
        <v>781</v>
      </c>
      <c r="I30" s="625"/>
      <c r="J30" s="625"/>
    </row>
    <row r="31" spans="1:16" s="521" customFormat="1">
      <c r="A31" s="577">
        <v>42580</v>
      </c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40" workbookViewId="0">
      <selection activeCell="A14" sqref="A14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30" t="str">
        <f>'справка №1-БАЛАНС'!E3</f>
        <v xml:space="preserve"> МНОГОПРОФИЛНА БОЛНИЦА ЗА АКТИВНО ЛЕЧЕНИЕ РУСЕ АД</v>
      </c>
      <c r="C5" s="630"/>
      <c r="D5" s="630"/>
      <c r="E5" s="570" t="s">
        <v>2</v>
      </c>
      <c r="F5" s="451">
        <f>'справка №1-БАЛАНС'!H3</f>
        <v>118505556</v>
      </c>
    </row>
    <row r="6" spans="1:15" ht="15" customHeight="1">
      <c r="A6" s="27" t="s">
        <v>822</v>
      </c>
      <c r="B6" s="631" t="str">
        <f>'справка №1-БАЛАНС'!E5</f>
        <v>01.01.2016 - 30.06.2016</v>
      </c>
      <c r="C6" s="631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9"/>
      <c r="D10" s="429"/>
      <c r="E10" s="429"/>
      <c r="F10" s="429"/>
    </row>
    <row r="11" spans="1:15" ht="18" customHeight="1">
      <c r="A11" s="36" t="s">
        <v>829</v>
      </c>
      <c r="B11" s="37"/>
      <c r="C11" s="429"/>
      <c r="D11" s="429"/>
      <c r="E11" s="429"/>
      <c r="F11" s="429"/>
    </row>
    <row r="12" spans="1:15" ht="14.25" customHeight="1">
      <c r="A12" s="36" t="s">
        <v>871</v>
      </c>
      <c r="B12" s="37"/>
      <c r="C12" s="441">
        <v>5</v>
      </c>
      <c r="D12" s="441">
        <v>100</v>
      </c>
      <c r="E12" s="441">
        <v>0</v>
      </c>
      <c r="F12" s="443">
        <f>C12-E12</f>
        <v>5</v>
      </c>
    </row>
    <row r="13" spans="1:15">
      <c r="A13" s="36" t="s">
        <v>831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832</v>
      </c>
      <c r="C27" s="429">
        <f>SUM(C12:C26)</f>
        <v>5</v>
      </c>
      <c r="D27" s="429"/>
      <c r="E27" s="429">
        <f>SUM(E12:E26)</f>
        <v>0</v>
      </c>
      <c r="F27" s="442">
        <f>SUM(F12:F26)</f>
        <v>5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833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834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835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836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837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838</v>
      </c>
      <c r="B78" s="39" t="s">
        <v>839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840</v>
      </c>
      <c r="B79" s="39" t="s">
        <v>841</v>
      </c>
      <c r="C79" s="429">
        <f>C78+C61+C44+C27</f>
        <v>5</v>
      </c>
      <c r="D79" s="429"/>
      <c r="E79" s="429">
        <f>E78+E61+E44+E27</f>
        <v>0</v>
      </c>
      <c r="F79" s="442">
        <f>F78+F61+F44+F27</f>
        <v>5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842</v>
      </c>
      <c r="B80" s="39"/>
      <c r="C80" s="429"/>
      <c r="D80" s="429"/>
      <c r="E80" s="429"/>
      <c r="F80" s="442"/>
    </row>
    <row r="81" spans="1:6" ht="14.25" customHeight="1">
      <c r="A81" s="36" t="s">
        <v>829</v>
      </c>
      <c r="B81" s="40"/>
      <c r="C81" s="429"/>
      <c r="D81" s="429"/>
      <c r="E81" s="429"/>
      <c r="F81" s="442"/>
    </row>
    <row r="82" spans="1:6">
      <c r="A82" s="36" t="s">
        <v>830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831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843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833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844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835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845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837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838</v>
      </c>
      <c r="B148" s="39" t="s">
        <v>846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847</v>
      </c>
      <c r="B149" s="39" t="s">
        <v>848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869</v>
      </c>
      <c r="B151" s="453"/>
      <c r="C151" s="632" t="s">
        <v>862</v>
      </c>
      <c r="D151" s="632"/>
      <c r="E151" s="632"/>
      <c r="F151" s="632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2" t="s">
        <v>872</v>
      </c>
      <c r="D153" s="632"/>
      <c r="E153" s="632"/>
      <c r="F153" s="632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Надежда Хаджийска</cp:lastModifiedBy>
  <cp:lastPrinted>2016-08-19T08:06:06Z</cp:lastPrinted>
  <dcterms:created xsi:type="dcterms:W3CDTF">2000-06-29T12:02:40Z</dcterms:created>
  <dcterms:modified xsi:type="dcterms:W3CDTF">2016-08-26T06:10:05Z</dcterms:modified>
</cp:coreProperties>
</file>