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040" tabRatio="750" firstSheet="5" activeTab="6"/>
  </bookViews>
  <sheets>
    <sheet name="Title" sheetId="1" r:id="rId1"/>
    <sheet name="a st.of comprehensive income bg" sheetId="2" r:id="rId2"/>
    <sheet name="a st. of financial position bg" sheetId="3" r:id="rId3"/>
    <sheet name=" a st. of cash flows bg" sheetId="4" r:id="rId4"/>
    <sheet name="a st. of changes in equity bg" sheetId="5" r:id="rId5"/>
    <sheet name="Title engl" sheetId="6" r:id="rId6"/>
    <sheet name="a st. of financial position en" sheetId="7" r:id="rId7"/>
    <sheet name="a st.of comprehensive income en" sheetId="8" r:id="rId8"/>
    <sheet name="Statement of cash flows en" sheetId="9" r:id="rId9"/>
    <sheet name="St. of changes in equity en " sheetId="10" r:id="rId10"/>
  </sheets>
  <definedNames>
    <definedName name="_xlnm.Print_Area" localSheetId="3">' a st. of cash flows bg'!$A$1:$G$55</definedName>
    <definedName name="_xlnm.Print_Area" localSheetId="2">'a st. of financial position bg'!$A$1:$G$118</definedName>
    <definedName name="_xlnm.Print_Area" localSheetId="1">'a st.of comprehensive income bg'!$A$1:$G$68</definedName>
  </definedNames>
  <calcPr fullCalcOnLoad="1"/>
</workbook>
</file>

<file path=xl/comments5.xml><?xml version="1.0" encoding="utf-8"?>
<comments xmlns="http://schemas.openxmlformats.org/spreadsheetml/2006/main">
  <authors>
    <author>OfficeDOH</author>
  </authors>
  <commentList>
    <comment ref="A160" authorId="0">
      <text>
        <r>
          <rPr>
            <b/>
            <sz val="9"/>
            <rFont val="Tahoma"/>
            <family val="2"/>
          </rPr>
          <t>OfficeDOH:</t>
        </r>
        <r>
          <rPr>
            <sz val="9"/>
            <rFont val="Tahoma"/>
            <family val="2"/>
          </rPr>
          <t xml:space="preserve">
Веко</t>
        </r>
      </text>
    </comment>
    <comment ref="A172" authorId="0">
      <text>
        <r>
          <rPr>
            <b/>
            <sz val="9"/>
            <rFont val="Tahoma"/>
            <family val="2"/>
          </rPr>
          <t>OfficeDOH:</t>
        </r>
        <r>
          <rPr>
            <sz val="9"/>
            <rFont val="Tahoma"/>
            <family val="2"/>
          </rPr>
          <t xml:space="preserve">
Веко</t>
        </r>
      </text>
    </comment>
    <comment ref="A173" authorId="0">
      <text>
        <r>
          <rPr>
            <b/>
            <sz val="9"/>
            <rFont val="Tahoma"/>
            <family val="2"/>
          </rPr>
          <t>OfficeDOH:</t>
        </r>
        <r>
          <rPr>
            <sz val="9"/>
            <rFont val="Tahoma"/>
            <family val="2"/>
          </rPr>
          <t xml:space="preserve">
Брико Македония и И.ФО.ЖЕ.КО
</t>
        </r>
      </text>
    </comment>
  </commentList>
</comments>
</file>

<file path=xl/sharedStrings.xml><?xml version="1.0" encoding="utf-8"?>
<sst xmlns="http://schemas.openxmlformats.org/spreadsheetml/2006/main" count="692" uniqueCount="385">
  <si>
    <t>Share issue premium</t>
  </si>
  <si>
    <t>Други/плащания постъпления от инвестиционна дейност</t>
  </si>
  <si>
    <t>Постъпления от продажба на инвестиции</t>
  </si>
  <si>
    <t>Обратно придобиване на ценни книжа</t>
  </si>
  <si>
    <t>Целеви резерви</t>
  </si>
  <si>
    <t>Основен капитал</t>
  </si>
  <si>
    <t>Покриване на загуба</t>
  </si>
  <si>
    <t>Разпределение на печалба</t>
  </si>
  <si>
    <t>Други изменения в собствения капитал</t>
  </si>
  <si>
    <t>бел.</t>
  </si>
  <si>
    <t>Change about accounting policy</t>
  </si>
  <si>
    <t>Материални запаси</t>
  </si>
  <si>
    <t>Последваща оценка на активи</t>
  </si>
  <si>
    <t>Other receipts/ payment for financial activity</t>
  </si>
  <si>
    <t>Постъпления от продажба на нетекущи материални активи</t>
  </si>
  <si>
    <t>Увеличение на капитала</t>
  </si>
  <si>
    <t>Increase of shareholders equity, fully paid up</t>
  </si>
  <si>
    <t>Печалба/Загуба за периода</t>
  </si>
  <si>
    <t>All amounts presented in BGN’000’s</t>
  </si>
  <si>
    <t>ASSETS</t>
  </si>
  <si>
    <t>Non-current assets</t>
  </si>
  <si>
    <t>Property, plant and equipment</t>
  </si>
  <si>
    <t>Investment properties</t>
  </si>
  <si>
    <t>Goodwill</t>
  </si>
  <si>
    <t>Intangible assets</t>
  </si>
  <si>
    <t>Long-term receivables</t>
  </si>
  <si>
    <t>Deferred tax assets</t>
  </si>
  <si>
    <t>Total non-current assets</t>
  </si>
  <si>
    <t xml:space="preserve">Investments in associates </t>
  </si>
  <si>
    <t xml:space="preserve">Current assets </t>
  </si>
  <si>
    <t>Inventories</t>
  </si>
  <si>
    <t>Trade and other receivables</t>
  </si>
  <si>
    <t>Prepayments</t>
  </si>
  <si>
    <t>Short-term financial assets</t>
  </si>
  <si>
    <t>Cash and cash equivalents</t>
  </si>
  <si>
    <t xml:space="preserve">Total assets </t>
  </si>
  <si>
    <t>EQUITY</t>
  </si>
  <si>
    <t>Equity attributable to shareholders of Doverie United Holding AD</t>
  </si>
  <si>
    <t>Share capital</t>
  </si>
  <si>
    <t>Reserves</t>
  </si>
  <si>
    <t>Retained earnings</t>
  </si>
  <si>
    <t>Total equity</t>
  </si>
  <si>
    <t>LIABILITIES</t>
  </si>
  <si>
    <t>Non-current liabilities</t>
  </si>
  <si>
    <t>Long - term loans</t>
  </si>
  <si>
    <t>Retirement compensations</t>
  </si>
  <si>
    <t>Deferred tax liabilities</t>
  </si>
  <si>
    <t>Other non-current liabilities</t>
  </si>
  <si>
    <t>Current liabilities</t>
  </si>
  <si>
    <t>Trade and other payables</t>
  </si>
  <si>
    <t>Short - term loans</t>
  </si>
  <si>
    <t>Provisions</t>
  </si>
  <si>
    <t>Other current liabilities</t>
  </si>
  <si>
    <t>Total liabilities</t>
  </si>
  <si>
    <t xml:space="preserve">Total equity and liabilities </t>
  </si>
  <si>
    <t>Anna Pavlova</t>
  </si>
  <si>
    <t>Chief Accountant and</t>
  </si>
  <si>
    <t>Member of the Management Board</t>
  </si>
  <si>
    <t>Chairman of the Management Board</t>
  </si>
  <si>
    <t>Cost of materials</t>
  </si>
  <si>
    <t>Hired services</t>
  </si>
  <si>
    <t>Employee expenses</t>
  </si>
  <si>
    <t>Depreciation</t>
  </si>
  <si>
    <t>Other expenses</t>
  </si>
  <si>
    <t>Financial income/(expenses)</t>
  </si>
  <si>
    <t>Result from equity accounted associates</t>
  </si>
  <si>
    <t>Result  before tax</t>
  </si>
  <si>
    <t>Tax expenses, net</t>
  </si>
  <si>
    <t>Net result for the period</t>
  </si>
  <si>
    <t>Earnings per share</t>
  </si>
  <si>
    <t xml:space="preserve">Consolidated statement of cash flows </t>
  </si>
  <si>
    <t>Cash flows from operating activities</t>
  </si>
  <si>
    <t>Cash receipts from customers</t>
  </si>
  <si>
    <t xml:space="preserve">Cash paid to suppliers </t>
  </si>
  <si>
    <t>Other payments</t>
  </si>
  <si>
    <t>Taxes paid</t>
  </si>
  <si>
    <t>Net cash flows from operating activities</t>
  </si>
  <si>
    <t>Cash flow from investing activities</t>
  </si>
  <si>
    <t>Sale of property, plant and equipment</t>
  </si>
  <si>
    <t>Sale of financial instruments</t>
  </si>
  <si>
    <t>Purchase of property, plant and equipment</t>
  </si>
  <si>
    <t>Purchase of financial instruments</t>
  </si>
  <si>
    <t>Net cash flows from investing activities</t>
  </si>
  <si>
    <t>Payments under to lease contracts</t>
  </si>
  <si>
    <t>Proceeds from issue of shares</t>
  </si>
  <si>
    <t>Interest, fees and commissions paid</t>
  </si>
  <si>
    <t>Reacquired stock</t>
  </si>
  <si>
    <t>Net increase/(decrease) in cash and cash equivalents</t>
  </si>
  <si>
    <t>Cash and cash equivalents, beginning of period</t>
  </si>
  <si>
    <t>Cash and cash equivalents at the end of the period</t>
  </si>
  <si>
    <t>Consolidated statement of changes in equity</t>
  </si>
  <si>
    <t>Equity attributable to equity holders of Doverie United Holding AD</t>
  </si>
  <si>
    <t xml:space="preserve"> Share Capital </t>
  </si>
  <si>
    <t xml:space="preserve"> Revaluation reserve </t>
  </si>
  <si>
    <t xml:space="preserve"> Other reserves </t>
  </si>
  <si>
    <t xml:space="preserve"> Retained earnings </t>
  </si>
  <si>
    <t>Total</t>
  </si>
  <si>
    <t>presented in BGN’000’s</t>
  </si>
  <si>
    <t>Balance 01 January 2005</t>
  </si>
  <si>
    <t>Change aboat accounting policy</t>
  </si>
  <si>
    <t>Increase in reserves</t>
  </si>
  <si>
    <t>Other changes in equity</t>
  </si>
  <si>
    <t>Balance 31 December 2005</t>
  </si>
  <si>
    <t>Balance 31 December 2006</t>
  </si>
  <si>
    <t>Other receipts for investing activity</t>
  </si>
  <si>
    <t>Cash flows from financial activities</t>
  </si>
  <si>
    <t>Net cash flows from financial activities</t>
  </si>
  <si>
    <t>Провизии</t>
  </si>
  <si>
    <t>Long-term trade and other payables</t>
  </si>
  <si>
    <t>Приходи</t>
  </si>
  <si>
    <t>Промени в салдото на готовата продукция и незавършеното производство</t>
  </si>
  <si>
    <t>Разходи за персонала</t>
  </si>
  <si>
    <t>Амортизация</t>
  </si>
  <si>
    <t>Други разходи за дейността</t>
  </si>
  <si>
    <t>Нетна печалба за периода</t>
  </si>
  <si>
    <t>АКТИВИ</t>
  </si>
  <si>
    <t>Нетекущи активи</t>
  </si>
  <si>
    <t>Имоти, машини, съоръжения и оборудване</t>
  </si>
  <si>
    <t>Х</t>
  </si>
  <si>
    <t>Текущи активи</t>
  </si>
  <si>
    <t>Търговски и други вземания</t>
  </si>
  <si>
    <t>Предплащания</t>
  </si>
  <si>
    <t>Общо активи</t>
  </si>
  <si>
    <t>Резерви</t>
  </si>
  <si>
    <t>Натрупана печалба/(загуба)</t>
  </si>
  <si>
    <t>Нетекущи пасиви</t>
  </si>
  <si>
    <t>Отсрочени данъци</t>
  </si>
  <si>
    <t>Текущи пасиви</t>
  </si>
  <si>
    <t>Търговски и други задължения</t>
  </si>
  <si>
    <t>Провизии за гаранции</t>
  </si>
  <si>
    <t>Общо капитал и пасиви</t>
  </si>
  <si>
    <t>(в хиляди лева)</t>
  </si>
  <si>
    <t>Финансови приходи/разходи</t>
  </si>
  <si>
    <t>(класификация на разходите по видове)</t>
  </si>
  <si>
    <t>Премиен резерв</t>
  </si>
  <si>
    <t>Промени в счетоводната политика</t>
  </si>
  <si>
    <t>Преизчислен баланс</t>
  </si>
  <si>
    <t>Резултат от преоценка на имоти</t>
  </si>
  <si>
    <t>Дефицит от преоценка на инвестиции</t>
  </si>
  <si>
    <t>Разлики от превръщане на валутата</t>
  </si>
  <si>
    <t>Нетни печалби и загуби, непризнати в отчета за приходите и разходите</t>
  </si>
  <si>
    <t>Дивиденти</t>
  </si>
  <si>
    <t>Дефицит от преоценка на имоти</t>
  </si>
  <si>
    <t>Излишък от преоценка на инвестиции</t>
  </si>
  <si>
    <t xml:space="preserve">Дивиденти </t>
  </si>
  <si>
    <t>Баланс към 31 декември 2002</t>
  </si>
  <si>
    <t>Инвестиционни имоти</t>
  </si>
  <si>
    <t>Активи по отсрочени данъци</t>
  </si>
  <si>
    <t>Дял в нетните активи на асоциираните предприятия, принадлежащ на групата</t>
  </si>
  <si>
    <t>Отсрочени приходи</t>
  </si>
  <si>
    <t xml:space="preserve">Доверие – Обединен холдинг АД </t>
  </si>
  <si>
    <t>Член на УС</t>
  </si>
  <si>
    <t>Плащания за данъци</t>
  </si>
  <si>
    <t>Провизии за доходи на наети лица</t>
  </si>
  <si>
    <t>Главен счетоводител и</t>
  </si>
  <si>
    <t>Плащания по лизингови договори</t>
  </si>
  <si>
    <t>Ефект от промени в счетоводна политика</t>
  </si>
  <si>
    <t>Баланс към 31 декември  2006</t>
  </si>
  <si>
    <t>Други постъпления/плащания за финансова дейност</t>
  </si>
  <si>
    <t xml:space="preserve">Doverie United Holding AD </t>
  </si>
  <si>
    <t>Загуба за периода</t>
  </si>
  <si>
    <t>Баланс към 31декември 2007</t>
  </si>
  <si>
    <t>Balance 31 December 2007</t>
  </si>
  <si>
    <t xml:space="preserve"> за периода, приключващ</t>
  </si>
  <si>
    <t>Общо пасиви</t>
  </si>
  <si>
    <t>Последваща оценка по МСС 16</t>
  </si>
  <si>
    <t>Изпълнителен директор</t>
  </si>
  <si>
    <t>Анна Павлова</t>
  </si>
  <si>
    <t>Печалба/загуба преди облагане с данъци</t>
  </si>
  <si>
    <t>Баланс към 31 декември 2003</t>
  </si>
  <si>
    <t>Парични потоци от основните дейности:</t>
  </si>
  <si>
    <t>Постъпления от клиенти</t>
  </si>
  <si>
    <t xml:space="preserve"> Парични средства, получени от основните дейности ( 2. + 3. )</t>
  </si>
  <si>
    <t xml:space="preserve">Плащания на доставчици </t>
  </si>
  <si>
    <t>Плащания за разходи по основните дейности</t>
  </si>
  <si>
    <t>Парични средства, изплатени за основните дейности</t>
  </si>
  <si>
    <t xml:space="preserve">Нетни парични потоци от основните дейности </t>
  </si>
  <si>
    <t>Парични потоци от инвестиционните дейности:</t>
  </si>
  <si>
    <t>Консолидиран отчет за паричните потоци</t>
  </si>
  <si>
    <t>Баланс към 31 декември  2004</t>
  </si>
  <si>
    <t>Други нематериални активи</t>
  </si>
  <si>
    <t>Търговски вземания</t>
  </si>
  <si>
    <t>Парични средства и парични еквиваленти</t>
  </si>
  <si>
    <t>СОБСТВЕН КАПИТАЛ И ПАСИВИ</t>
  </si>
  <si>
    <t>Капитал, отнасящ се до притежателите на собствен капитал на предприятието майка</t>
  </si>
  <si>
    <t>Акционерен капитал</t>
  </si>
  <si>
    <t>Общо собствен капитал</t>
  </si>
  <si>
    <t>Постъпления от емитиране на ценни книжа</t>
  </si>
  <si>
    <t>Баланс към 31 декември  2005</t>
  </si>
  <si>
    <t xml:space="preserve">Нетни парични наличности от инвестиционните дейности </t>
  </si>
  <si>
    <t>Парични потоци от финансовите дейности:</t>
  </si>
  <si>
    <t xml:space="preserve">Нетни парични наличности, използвани във финансовите дейности </t>
  </si>
  <si>
    <t xml:space="preserve">Нетно увеличение на паричните наличности и паричните еквиваленти </t>
  </si>
  <si>
    <t>Закупуване на дълготрайни активи</t>
  </si>
  <si>
    <t>Баланс към 31 декември 2008</t>
  </si>
  <si>
    <t>Balance 31 December 2008</t>
  </si>
  <si>
    <t>Закупуване на инвестиции</t>
  </si>
  <si>
    <t>Consolidated Statement of Financial Position</t>
  </si>
  <si>
    <t xml:space="preserve">Отчетът за всеобхватния доход следва да се разглежда заедно с пояснителните сведения към него </t>
  </si>
  <si>
    <t>Друг всеобхватен доход</t>
  </si>
  <si>
    <t>Преоценъчен резерв</t>
  </si>
  <si>
    <t>Общо всеобхватен доход</t>
  </si>
  <si>
    <t>Притежателите на собствен капитал на предприятието майка</t>
  </si>
  <si>
    <t>Нетна печалба/загуба принадлежаща на:</t>
  </si>
  <si>
    <t>Общ всеобхватен доход, принадлежащ на:</t>
  </si>
  <si>
    <t>на притежателите на собствен капитал на предприятието майка</t>
  </si>
  <si>
    <t>Данъци върху печалбата</t>
  </si>
  <si>
    <t>Other comprehensive income:</t>
  </si>
  <si>
    <t>Other comprehensive income,net of tax</t>
  </si>
  <si>
    <t>Total comprehensive income</t>
  </si>
  <si>
    <t>Profit attributable to:</t>
  </si>
  <si>
    <t>Equity holders of the company</t>
  </si>
  <si>
    <t>Total comprehensive income attributable to :</t>
  </si>
  <si>
    <t xml:space="preserve">Консолидиран отчет за финансовото състояние </t>
  </si>
  <si>
    <t xml:space="preserve">Неконтролиращи участия </t>
  </si>
  <si>
    <t>Резерв от валутно преизчисление</t>
  </si>
  <si>
    <t>Преизчисляване на финансовите отчети на чуждестранна дейност</t>
  </si>
  <si>
    <t>`</t>
  </si>
  <si>
    <t>Non-controling interest</t>
  </si>
  <si>
    <t>Increase/decrease in revaluation reserves</t>
  </si>
  <si>
    <t>Translation difference</t>
  </si>
  <si>
    <t>Нетна печалба на акция</t>
  </si>
  <si>
    <t>Баланс към 30 септември 2008</t>
  </si>
  <si>
    <t>Balance 30 September 2008</t>
  </si>
  <si>
    <t>Разходи за материали</t>
  </si>
  <si>
    <t>Разходи за външни услуги</t>
  </si>
  <si>
    <t xml:space="preserve">Други доходи/загуби от дейността </t>
  </si>
  <si>
    <t>Баланс към 31 декември 2009</t>
  </si>
  <si>
    <t>Balance 31 December 2009</t>
  </si>
  <si>
    <t>Баланс към 30 септември 2009</t>
  </si>
  <si>
    <t>Balance 30 September 2009</t>
  </si>
  <si>
    <t>Печалба/загуба от преустановени дейности</t>
  </si>
  <si>
    <t>Баланс към 31 декември 2010</t>
  </si>
  <si>
    <t>Balance 31 December 2010</t>
  </si>
  <si>
    <t>Баланс към 30 септември 2010</t>
  </si>
  <si>
    <t>Balance 30 September 2010</t>
  </si>
  <si>
    <t>Баланс към 31 декември 2011</t>
  </si>
  <si>
    <t>Balance 31 December 2011</t>
  </si>
  <si>
    <t>Финансирания</t>
  </si>
  <si>
    <t>Баланс към 30 септември 2011</t>
  </si>
  <si>
    <t>Balance 30 September 2011</t>
  </si>
  <si>
    <t>Нова емисия акции</t>
  </si>
  <si>
    <t>Баланс към 31декември  2012</t>
  </si>
  <si>
    <t>Ефект от отсрочени данъци</t>
  </si>
  <si>
    <t>Consolidated Statement of profit or loss  and other comprehensive Income</t>
  </si>
  <si>
    <t>Balance 31 December 2012</t>
  </si>
  <si>
    <t>Консолидиран отчет за печалбата или загубата и другия всеобхватeн доход</t>
  </si>
  <si>
    <t>Застрахователни резерви</t>
  </si>
  <si>
    <t>Specialized insurance reserves</t>
  </si>
  <si>
    <t>Баланс към 31 декември 2013</t>
  </si>
  <si>
    <t>Balance 31 December 2013</t>
  </si>
  <si>
    <t>Баланс към 30 септември 2013</t>
  </si>
  <si>
    <t>Balance 30 September 2013</t>
  </si>
  <si>
    <t xml:space="preserve"> </t>
  </si>
  <si>
    <t>Баланс към 31 декември  2014</t>
  </si>
  <si>
    <t>Balance 31 December 2014</t>
  </si>
  <si>
    <t>Натрупана печалба/загуба</t>
  </si>
  <si>
    <t>Deferred tax</t>
  </si>
  <si>
    <t>Баланс към 30 септември  2014</t>
  </si>
  <si>
    <t>Balance 30 September 2014</t>
  </si>
  <si>
    <t>Balance 31 December 2015</t>
  </si>
  <si>
    <t>Баланс към 31 декември  2015</t>
  </si>
  <si>
    <t>Дял от печалбата на асоциирани дружества</t>
  </si>
  <si>
    <t>Result from suspended operations</t>
  </si>
  <si>
    <t>Приходи за бъдещи периоди</t>
  </si>
  <si>
    <t>Получени дивиденти</t>
  </si>
  <si>
    <t>Баланс към 30 септември  2015</t>
  </si>
  <si>
    <t>Balance 30 September 2015</t>
  </si>
  <si>
    <t>Balance 31 December 2016</t>
  </si>
  <si>
    <t>Баланс към 31 декември  2016</t>
  </si>
  <si>
    <t>Александър Христов</t>
  </si>
  <si>
    <t>Председател на УС</t>
  </si>
  <si>
    <t>Alexander Hristov</t>
  </si>
  <si>
    <t xml:space="preserve">Executive Director </t>
  </si>
  <si>
    <t>Баланс към 30 септември  2016</t>
  </si>
  <si>
    <t>Balance 30 September 2016</t>
  </si>
  <si>
    <t>Мина Николова-Ангелова</t>
  </si>
  <si>
    <t>Mina Nicolova-Angelova</t>
  </si>
  <si>
    <t>Balance 31 December 2017</t>
  </si>
  <si>
    <t>Баланс към 31 дкември  2017</t>
  </si>
  <si>
    <t>Балансова стойност на продадените активи</t>
  </si>
  <si>
    <t>Печалба от придобиване и освобождаване на и от дъщерни дружества</t>
  </si>
  <si>
    <t>Промени в техническите, застрахователните резерви</t>
  </si>
  <si>
    <t>Възникнали претенции (застрахователи)</t>
  </si>
  <si>
    <t>Аквизиции</t>
  </si>
  <si>
    <t>Получени заеми от свързани лица</t>
  </si>
  <si>
    <t>Постъпления от  банкови заеми</t>
  </si>
  <si>
    <t>Изплащане на банкови заеми</t>
  </si>
  <si>
    <t>Възстановени заеми на свързани лица</t>
  </si>
  <si>
    <t>Изплащане на лихви на свързани предприятия</t>
  </si>
  <si>
    <t>Изплащане на лихви, такси и комисионни по банкови заеми</t>
  </si>
  <si>
    <t>Парични средства при придобиване и освобождаване от дъщерни дружества нетно</t>
  </si>
  <si>
    <t>Proceeds from related party loans</t>
  </si>
  <si>
    <t>Repayment of related party loans</t>
  </si>
  <si>
    <t>Interest paid to related parties</t>
  </si>
  <si>
    <t>Proceeds from bank loans</t>
  </si>
  <si>
    <t>Repayment of bank loans</t>
  </si>
  <si>
    <t>Cash and cash equivalents on acquisition and disposal by subsidiaries</t>
  </si>
  <si>
    <t xml:space="preserve">Разпределение на печалбата за:               </t>
  </si>
  <si>
    <t xml:space="preserve"> * от трансформиране на преоценъчен резерв в целеви резерви</t>
  </si>
  <si>
    <t>Друг всеобхватен доход,нетно от данъци</t>
  </si>
  <si>
    <t>Отнасящ се към притежателите на собствен капитал на предприятието майка</t>
  </si>
  <si>
    <t>BGN'000</t>
  </si>
  <si>
    <t>Общо</t>
  </si>
  <si>
    <t>Other comprehensive income</t>
  </si>
  <si>
    <t>Transforming a revaluation reserve into other reserves</t>
  </si>
  <si>
    <t xml:space="preserve">Exemption from subsidiaries </t>
  </si>
  <si>
    <t>Effects of recalculation of complicity</t>
  </si>
  <si>
    <t>Revenue</t>
  </si>
  <si>
    <t>Other operating income(losses), net</t>
  </si>
  <si>
    <t>Changes in inventories of finished goods and work in progress</t>
  </si>
  <si>
    <t>Carrying amount of goods sold</t>
  </si>
  <si>
    <t>Changes in insurance reserves</t>
  </si>
  <si>
    <t>Incurred insurance claims</t>
  </si>
  <si>
    <t>Acquisitions</t>
  </si>
  <si>
    <t>Gain acquisition and disposal of subsidiaries</t>
  </si>
  <si>
    <t xml:space="preserve">Result </t>
  </si>
  <si>
    <t>Remeasurements of defined benefit pension plans</t>
  </si>
  <si>
    <t xml:space="preserve">Dtvident and interest income </t>
  </si>
  <si>
    <t>Ефекти от пеизчисление на съучастието</t>
  </si>
  <si>
    <t xml:space="preserve">Увеличение на участия в дъщерни дружества </t>
  </si>
  <si>
    <t xml:space="preserve"> Освобождаване от дъщерни и съвместни дружества</t>
  </si>
  <si>
    <t>Придобиване на дъщерни и съвместни дружества</t>
  </si>
  <si>
    <t xml:space="preserve">Печалба/загуба от продължаващи дейности </t>
  </si>
  <si>
    <t>Нетна печалба/(загуба) за годината</t>
  </si>
  <si>
    <t xml:space="preserve">Dtvident  income </t>
  </si>
  <si>
    <t>Net result for the period from continuing operations</t>
  </si>
  <si>
    <t>Balance 30 September 2017</t>
  </si>
  <si>
    <t>Получени лихви</t>
  </si>
  <si>
    <t>Покриване на загуби</t>
  </si>
  <si>
    <t>Coverage of losses</t>
  </si>
  <si>
    <t>към 31 декември 2018 година</t>
  </si>
  <si>
    <t>For the period ended 31 December 2018</t>
  </si>
  <si>
    <t>Задължения по преки застрахователни операции</t>
  </si>
  <si>
    <t>Вземания по застрахователни договори</t>
  </si>
  <si>
    <t>Баланс към 31 декември  2018</t>
  </si>
  <si>
    <t>Receivables on insurance contracts</t>
  </si>
  <si>
    <t>Payables on direct insurance operations</t>
  </si>
  <si>
    <t>Balance 30 December 2018</t>
  </si>
  <si>
    <t>Годишен консолидиран финансов отчет</t>
  </si>
  <si>
    <t>Annual Consolidated Financial Statements</t>
  </si>
  <si>
    <t>The Annual Consolidated Financial Statements were authorised on 2 April 2019</t>
  </si>
  <si>
    <t>Корекции от първоначалното прилагане на МСФО 9 и МСФО 15, нетно от данъци (бележка 2.1)</t>
  </si>
  <si>
    <t>Салдо на 1 януари 2018 г. (преизчислено)</t>
  </si>
  <si>
    <t>нетно от данъци  сравка IFRS 9 ефекти</t>
  </si>
  <si>
    <t xml:space="preserve">Продажбите и ликвидацията на ифо же ко </t>
  </si>
  <si>
    <t>ИФО ЖЕ КО</t>
  </si>
  <si>
    <t>Нетни актии</t>
  </si>
  <si>
    <t>Репутация</t>
  </si>
  <si>
    <t xml:space="preserve">Дългосрочни заеми </t>
  </si>
  <si>
    <t xml:space="preserve">Краткосрочни заеми </t>
  </si>
  <si>
    <t>2018  г.</t>
  </si>
  <si>
    <t>2017  г.</t>
  </si>
  <si>
    <t xml:space="preserve">Доверие Обединен холдинг АД </t>
  </si>
  <si>
    <t>31 декември                   2017
      BGN'000</t>
  </si>
  <si>
    <t>за годината, завършваща на 31 декември 2018 г.</t>
  </si>
  <si>
    <t>Парични средства и парични еквиваленти на 31 декември</t>
  </si>
  <si>
    <t>Парични средства и парични еквиваленти на 1 януари</t>
  </si>
  <si>
    <t xml:space="preserve">Консолидиран отчет за промените в собствения капитал </t>
  </si>
  <si>
    <t>Годишен консолидиран финансов отчет за годината, приключваща към 31 декември 2018</t>
  </si>
  <si>
    <t>Ефекти от пеизчисление на участията</t>
  </si>
  <si>
    <t>Промени в собствения капитал за 2018 година</t>
  </si>
  <si>
    <t>Промени в собствения капитал за 2017 година</t>
  </si>
  <si>
    <t xml:space="preserve">ок </t>
  </si>
  <si>
    <t xml:space="preserve">НУ - намаление Д Брико, Ритон, Хидроизомат, Хидроизомат Инж, Ифо Же КО, </t>
  </si>
  <si>
    <t>и 13 х.лв. от ефекта МСФО 9</t>
  </si>
  <si>
    <t xml:space="preserve">Увеличение/ намаление на участията в дъщерни дружества </t>
  </si>
  <si>
    <t xml:space="preserve">Финансови активи по справедлива стойност в печалбата или загубата </t>
  </si>
  <si>
    <t>Финансови активи по амортизирана стойност</t>
  </si>
  <si>
    <t>Годишният консолидиран финансов отчет е одобрен на 12 април 2019 година от:</t>
  </si>
  <si>
    <t>2017 г. *</t>
  </si>
  <si>
    <t xml:space="preserve">* Групата прилага първоначално МСФО 9 и МСФО 15 на 1 януари 2018 г. в съответствие с избраните методи за преминаване, сравнителната информция не е преизчислена.  </t>
  </si>
  <si>
    <t>Отчетът за финансовото състояние следва да се разглежда заедно с пояснителните сведения към него</t>
  </si>
  <si>
    <t>Одиторско дружество:</t>
  </si>
  <si>
    <t>ЕЙЧ ЕЛ БИ БЪЛГАРИЯ ООД</t>
  </si>
  <si>
    <t>Консолидиран отчет за финансовото състояние (продължение)</t>
  </si>
  <si>
    <t xml:space="preserve">31 декември  2018 г.
      </t>
  </si>
  <si>
    <t>Последващи оценки на планове с дефинирани доходи/нетно</t>
  </si>
  <si>
    <t>15,18</t>
  </si>
  <si>
    <t>Financial assets at fair value through profit or loss</t>
  </si>
  <si>
    <t>Financial assets at amortised cost</t>
  </si>
  <si>
    <t xml:space="preserve">Неконтро-лиращи участия </t>
  </si>
  <si>
    <t>от стр.6 до стр. 127, представляващи неразделна част от годишния консолидиран финансов отчет</t>
  </si>
  <si>
    <t xml:space="preserve">31 декември  2017 г. *
      </t>
  </si>
  <si>
    <t>Друг всеобхватен доход, нетно от данъци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</si>
</sst>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лв.&quot;\ #,##0_);\(&quot;лв.&quot;\ #,##0\)"/>
    <numFmt numFmtId="165" formatCode="&quot;лв.&quot;\ #,##0_);[Red]\(&quot;лв.&quot;\ #,##0\)"/>
    <numFmt numFmtId="166" formatCode="&quot;лв.&quot;\ #,##0.00_);\(&quot;лв.&quot;\ #,##0.00\)"/>
    <numFmt numFmtId="167" formatCode="&quot;лв.&quot;\ #,##0.00_);[Red]\(&quot;лв.&quot;\ #,##0.00\)"/>
    <numFmt numFmtId="168" formatCode="_(&quot;лв.&quot;\ * #,##0_);_(&quot;лв.&quot;\ * \(#,##0\);_(&quot;лв.&quot;\ * &quot;-&quot;_);_(@_)"/>
    <numFmt numFmtId="169" formatCode="_(* #,##0_);_(* \(#,##0\);_(* &quot;-&quot;_);_(@_)"/>
    <numFmt numFmtId="170" formatCode="_(&quot;лв.&quot;\ * #,##0.00_);_(&quot;лв.&quot;\ * \(#,##0.00\);_(&quot;лв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_-;\-* #,##0_-;_-* &quot;-&quot;_-;_-@_-"/>
    <numFmt numFmtId="179" formatCode="_-* #,##0.00_-;\-* #,##0.00_-;_-* &quot;-&quot;??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General;\(General\)"/>
    <numFmt numFmtId="192" formatCode="General;\ \(General\)"/>
    <numFmt numFmtId="193" formatCode="0.00;[Red]0.00"/>
    <numFmt numFmtId="194" formatCode="mmmm\ d\,\ yyyy"/>
    <numFmt numFmtId="195" formatCode="d\-mmm\-yy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_-* #,##0.000\ _л_в_-;\-* #,##0.000\ _л_в_-;_-* &quot;-&quot;??\ _л_в_-;_-@_-"/>
    <numFmt numFmtId="203" formatCode="0.0"/>
    <numFmt numFmtId="204" formatCode="0.0%"/>
    <numFmt numFmtId="205" formatCode="0.000%"/>
    <numFmt numFmtId="206" formatCode="0_ ;[Red]\-0\ "/>
    <numFmt numFmtId="207" formatCode="#,##0.0"/>
    <numFmt numFmtId="208" formatCode="_(* #,##0_);_(* \(#,##0\);_(* &quot;-&quot;??_);_(@_)"/>
    <numFmt numFmtId="209" formatCode="#,###;\(#,###\)"/>
    <numFmt numFmtId="210" formatCode="[$€-2]\ #,##0.00_);[Red]\([$€-2]\ #,##0.00\)"/>
    <numFmt numFmtId="211" formatCode="#,##0\ _л_в"/>
    <numFmt numFmtId="212" formatCode="[$-402]dd\ mmmm\ yyyy\ &quot;г.&quot;"/>
    <numFmt numFmtId="213" formatCode="_-* #,##0.0\ _л_в_-;\-* #,##0.0\ _л_в_-;_-* &quot;-&quot;??\ _л_в_-;_-@_-"/>
    <numFmt numFmtId="214" formatCode="_-* #,##0\ _л_в_-;\-* #,##0\ _л_в_-;_-* &quot;-&quot;??\ _л_в_-;_-@_-"/>
    <numFmt numFmtId="215" formatCode="[$-409]dddd\,\ mmmm\ d\,\ yyyy"/>
  </numFmts>
  <fonts count="68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b/>
      <sz val="10"/>
      <name val="Garamond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Times New Roman"/>
      <family val="1"/>
    </font>
    <font>
      <sz val="10"/>
      <name val="Hebar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 CYR"/>
      <family val="1"/>
    </font>
    <font>
      <sz val="10"/>
      <name val="OpalB"/>
      <family val="0"/>
    </font>
    <font>
      <b/>
      <sz val="11"/>
      <color indexed="8"/>
      <name val="Times New Roman"/>
      <family val="1"/>
    </font>
    <font>
      <b/>
      <u val="singleAccounting"/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192" fontId="4" fillId="0" borderId="0" xfId="0" applyNumberFormat="1" applyFont="1" applyAlignment="1">
      <alignment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14" fillId="0" borderId="0" xfId="0" applyFont="1" applyAlignment="1">
      <alignment vertical="top" wrapText="1"/>
    </xf>
    <xf numFmtId="0" fontId="6" fillId="0" borderId="0" xfId="0" applyFont="1" applyAlignment="1">
      <alignment horizontal="right"/>
    </xf>
    <xf numFmtId="192" fontId="3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 vertical="top" wrapText="1"/>
    </xf>
    <xf numFmtId="0" fontId="6" fillId="0" borderId="10" xfId="0" applyFont="1" applyBorder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 horizontal="left"/>
    </xf>
    <xf numFmtId="14" fontId="3" fillId="0" borderId="0" xfId="0" applyNumberFormat="1" applyFont="1" applyAlignment="1">
      <alignment horizontal="center" vertical="top" wrapText="1"/>
    </xf>
    <xf numFmtId="0" fontId="17" fillId="0" borderId="0" xfId="0" applyFont="1" applyAlignment="1">
      <alignment/>
    </xf>
    <xf numFmtId="0" fontId="6" fillId="0" borderId="0" xfId="0" applyFont="1" applyAlignment="1">
      <alignment horizontal="justify" vertical="top" wrapText="1"/>
    </xf>
    <xf numFmtId="191" fontId="4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208" fontId="6" fillId="0" borderId="0" xfId="55" applyNumberFormat="1" applyFont="1" applyAlignment="1">
      <alignment/>
    </xf>
    <xf numFmtId="192" fontId="6" fillId="0" borderId="0" xfId="0" applyNumberFormat="1" applyFont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/>
    </xf>
    <xf numFmtId="209" fontId="6" fillId="0" borderId="0" xfId="0" applyNumberFormat="1" applyFont="1" applyAlignment="1">
      <alignment horizontal="right" vertical="top" wrapText="1"/>
    </xf>
    <xf numFmtId="209" fontId="3" fillId="0" borderId="0" xfId="0" applyNumberFormat="1" applyFont="1" applyAlignment="1">
      <alignment horizontal="right" vertical="top" wrapText="1"/>
    </xf>
    <xf numFmtId="209" fontId="3" fillId="0" borderId="11" xfId="0" applyNumberFormat="1" applyFont="1" applyBorder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3" fillId="0" borderId="12" xfId="0" applyNumberFormat="1" applyFont="1" applyBorder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192" fontId="6" fillId="0" borderId="0" xfId="0" applyNumberFormat="1" applyFont="1" applyAlignment="1">
      <alignment horizontal="right" vertical="top" wrapText="1"/>
    </xf>
    <xf numFmtId="209" fontId="4" fillId="0" borderId="0" xfId="0" applyNumberFormat="1" applyFont="1" applyAlignment="1">
      <alignment/>
    </xf>
    <xf numFmtId="192" fontId="4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209" fontId="4" fillId="0" borderId="10" xfId="0" applyNumberFormat="1" applyFont="1" applyBorder="1" applyAlignment="1">
      <alignment/>
    </xf>
    <xf numFmtId="209" fontId="4" fillId="0" borderId="0" xfId="0" applyNumberFormat="1" applyFont="1" applyAlignment="1">
      <alignment horizontal="right" vertical="top" wrapText="1"/>
    </xf>
    <xf numFmtId="209" fontId="5" fillId="0" borderId="11" xfId="0" applyNumberFormat="1" applyFont="1" applyBorder="1" applyAlignment="1">
      <alignment horizontal="right" vertical="top" wrapText="1"/>
    </xf>
    <xf numFmtId="209" fontId="5" fillId="0" borderId="0" xfId="0" applyNumberFormat="1" applyFont="1" applyAlignment="1">
      <alignment horizontal="right" vertical="top" wrapText="1"/>
    </xf>
    <xf numFmtId="209" fontId="4" fillId="0" borderId="10" xfId="0" applyNumberFormat="1" applyFont="1" applyBorder="1" applyAlignment="1">
      <alignment horizontal="right" vertical="top" wrapText="1"/>
    </xf>
    <xf numFmtId="192" fontId="5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wrapText="1"/>
    </xf>
    <xf numFmtId="209" fontId="4" fillId="0" borderId="13" xfId="0" applyNumberFormat="1" applyFont="1" applyBorder="1" applyAlignment="1">
      <alignment horizontal="right" vertical="top" wrapText="1"/>
    </xf>
    <xf numFmtId="0" fontId="7" fillId="0" borderId="0" xfId="0" applyFont="1" applyAlignment="1">
      <alignment vertical="top" wrapText="1"/>
    </xf>
    <xf numFmtId="209" fontId="7" fillId="0" borderId="14" xfId="0" applyNumberFormat="1" applyFont="1" applyBorder="1" applyAlignment="1">
      <alignment horizontal="right" vertical="top" wrapText="1"/>
    </xf>
    <xf numFmtId="209" fontId="4" fillId="0" borderId="14" xfId="0" applyNumberFormat="1" applyFont="1" applyBorder="1" applyAlignment="1">
      <alignment horizontal="right" vertical="top" wrapText="1"/>
    </xf>
    <xf numFmtId="209" fontId="5" fillId="0" borderId="0" xfId="0" applyNumberFormat="1" applyFont="1" applyAlignment="1">
      <alignment vertical="top"/>
    </xf>
    <xf numFmtId="209" fontId="19" fillId="0" borderId="14" xfId="0" applyNumberFormat="1" applyFont="1" applyBorder="1" applyAlignment="1">
      <alignment horizontal="right" vertical="top" wrapText="1"/>
    </xf>
    <xf numFmtId="0" fontId="15" fillId="0" borderId="0" xfId="0" applyFont="1" applyAlignment="1">
      <alignment vertical="top" wrapText="1"/>
    </xf>
    <xf numFmtId="191" fontId="3" fillId="0" borderId="0" xfId="0" applyNumberFormat="1" applyFont="1" applyAlignment="1">
      <alignment horizontal="center" vertical="top" wrapText="1"/>
    </xf>
    <xf numFmtId="191" fontId="3" fillId="0" borderId="10" xfId="0" applyNumberFormat="1" applyFont="1" applyBorder="1" applyAlignment="1">
      <alignment horizontal="center" vertical="top" wrapText="1"/>
    </xf>
    <xf numFmtId="191" fontId="6" fillId="0" borderId="10" xfId="0" applyNumberFormat="1" applyFont="1" applyBorder="1" applyAlignment="1">
      <alignment horizontal="center" vertical="top" wrapText="1"/>
    </xf>
    <xf numFmtId="191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wrapText="1"/>
    </xf>
    <xf numFmtId="208" fontId="3" fillId="0" borderId="0" xfId="55" applyNumberFormat="1" applyFont="1" applyAlignment="1">
      <alignment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191" fontId="3" fillId="0" borderId="14" xfId="0" applyNumberFormat="1" applyFont="1" applyBorder="1" applyAlignment="1">
      <alignment horizontal="center" vertical="top" wrapText="1"/>
    </xf>
    <xf numFmtId="191" fontId="6" fillId="0" borderId="12" xfId="0" applyNumberFormat="1" applyFont="1" applyBorder="1" applyAlignment="1">
      <alignment horizontal="right" vertical="top" wrapText="1"/>
    </xf>
    <xf numFmtId="191" fontId="6" fillId="0" borderId="0" xfId="0" applyNumberFormat="1" applyFont="1" applyAlignment="1">
      <alignment horizontal="right" vertical="top" wrapText="1"/>
    </xf>
    <xf numFmtId="191" fontId="3" fillId="0" borderId="12" xfId="0" applyNumberFormat="1" applyFont="1" applyBorder="1" applyAlignment="1">
      <alignment horizontal="right" vertical="top" wrapText="1"/>
    </xf>
    <xf numFmtId="191" fontId="3" fillId="0" borderId="12" xfId="0" applyNumberFormat="1" applyFont="1" applyBorder="1" applyAlignment="1">
      <alignment/>
    </xf>
    <xf numFmtId="191" fontId="3" fillId="0" borderId="11" xfId="0" applyNumberFormat="1" applyFont="1" applyBorder="1" applyAlignment="1">
      <alignment/>
    </xf>
    <xf numFmtId="209" fontId="3" fillId="0" borderId="12" xfId="0" applyNumberFormat="1" applyFont="1" applyBorder="1" applyAlignment="1">
      <alignment/>
    </xf>
    <xf numFmtId="209" fontId="3" fillId="0" borderId="0" xfId="0" applyNumberFormat="1" applyFont="1" applyAlignment="1">
      <alignment/>
    </xf>
    <xf numFmtId="209" fontId="6" fillId="0" borderId="0" xfId="0" applyNumberFormat="1" applyFont="1" applyAlignment="1">
      <alignment/>
    </xf>
    <xf numFmtId="209" fontId="3" fillId="0" borderId="11" xfId="0" applyNumberFormat="1" applyFont="1" applyBorder="1" applyAlignment="1">
      <alignment/>
    </xf>
    <xf numFmtId="191" fontId="3" fillId="0" borderId="11" xfId="0" applyNumberFormat="1" applyFont="1" applyBorder="1" applyAlignment="1">
      <alignment horizontal="right"/>
    </xf>
    <xf numFmtId="0" fontId="20" fillId="33" borderId="0" xfId="0" applyFont="1" applyFill="1" applyAlignment="1">
      <alignment horizontal="left" vertical="center" wrapText="1"/>
    </xf>
    <xf numFmtId="0" fontId="4" fillId="0" borderId="0" xfId="38" applyFont="1" applyAlignment="1">
      <alignment horizontal="left" vertical="center" wrapText="1"/>
      <protection/>
    </xf>
    <xf numFmtId="0" fontId="4" fillId="0" borderId="0" xfId="38" applyFont="1" applyAlignment="1">
      <alignment horizontal="left" vertical="center" wrapText="1"/>
      <protection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/>
    </xf>
    <xf numFmtId="191" fontId="7" fillId="0" borderId="0" xfId="0" applyNumberFormat="1" applyFont="1" applyAlignment="1">
      <alignment/>
    </xf>
    <xf numFmtId="0" fontId="3" fillId="0" borderId="0" xfId="0" applyFont="1" applyAlignment="1">
      <alignment/>
    </xf>
    <xf numFmtId="191" fontId="6" fillId="0" borderId="0" xfId="0" applyNumberFormat="1" applyFont="1" applyAlignment="1">
      <alignment/>
    </xf>
    <xf numFmtId="191" fontId="3" fillId="0" borderId="11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0" fontId="6" fillId="0" borderId="0" xfId="0" applyFont="1" applyAlignment="1">
      <alignment wrapText="1"/>
    </xf>
    <xf numFmtId="20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Border="1" applyAlignment="1">
      <alignment vertical="top" wrapText="1"/>
    </xf>
    <xf numFmtId="14" fontId="3" fillId="0" borderId="0" xfId="0" applyNumberFormat="1" applyFont="1" applyAlignment="1">
      <alignment horizontal="right"/>
    </xf>
    <xf numFmtId="194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top" indent="1"/>
    </xf>
    <xf numFmtId="0" fontId="4" fillId="0" borderId="0" xfId="0" applyFont="1" applyAlignment="1">
      <alignment/>
    </xf>
    <xf numFmtId="169" fontId="5" fillId="0" borderId="0" xfId="0" applyNumberFormat="1" applyFont="1" applyAlignment="1">
      <alignment horizontal="right" vertical="top" wrapText="1"/>
    </xf>
    <xf numFmtId="209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vertical="top" wrapText="1"/>
    </xf>
    <xf numFmtId="209" fontId="4" fillId="0" borderId="0" xfId="0" applyNumberFormat="1" applyFont="1" applyBorder="1" applyAlignment="1">
      <alignment/>
    </xf>
    <xf numFmtId="209" fontId="4" fillId="0" borderId="0" xfId="0" applyNumberFormat="1" applyFont="1" applyBorder="1" applyAlignment="1">
      <alignment horizontal="right" vertical="top" wrapText="1"/>
    </xf>
    <xf numFmtId="209" fontId="7" fillId="0" borderId="0" xfId="0" applyNumberFormat="1" applyFont="1" applyBorder="1" applyAlignment="1">
      <alignment horizontal="right" vertical="top" wrapText="1"/>
    </xf>
    <xf numFmtId="209" fontId="5" fillId="0" borderId="0" xfId="0" applyNumberFormat="1" applyFont="1" applyBorder="1" applyAlignment="1">
      <alignment horizontal="right" vertical="top" wrapText="1"/>
    </xf>
    <xf numFmtId="209" fontId="5" fillId="0" borderId="0" xfId="0" applyNumberFormat="1" applyFont="1" applyBorder="1" applyAlignment="1">
      <alignment vertical="top"/>
    </xf>
    <xf numFmtId="0" fontId="15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34" borderId="0" xfId="35" applyFont="1" applyFill="1">
      <alignment/>
      <protection/>
    </xf>
    <xf numFmtId="209" fontId="5" fillId="0" borderId="0" xfId="0" applyNumberFormat="1" applyFont="1" applyAlignment="1">
      <alignment vertical="center"/>
    </xf>
    <xf numFmtId="209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34" applyFont="1" applyAlignment="1">
      <alignment vertical="center"/>
      <protection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1" fontId="26" fillId="0" borderId="0" xfId="34" applyNumberFormat="1" applyFont="1" applyAlignment="1">
      <alignment horizontal="right" vertical="center" wrapText="1"/>
      <protection/>
    </xf>
    <xf numFmtId="0" fontId="4" fillId="0" borderId="0" xfId="0" applyFont="1" applyAlignment="1">
      <alignment horizontal="right" vertical="top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69" fontId="5" fillId="0" borderId="0" xfId="0" applyNumberFormat="1" applyFont="1" applyFill="1" applyAlignment="1">
      <alignment horizontal="right" vertical="top" wrapText="1"/>
    </xf>
    <xf numFmtId="169" fontId="5" fillId="0" borderId="0" xfId="0" applyNumberFormat="1" applyFont="1" applyFill="1" applyAlignment="1">
      <alignment horizontal="right" vertical="center" wrapText="1"/>
    </xf>
    <xf numFmtId="194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214" fontId="4" fillId="0" borderId="0" xfId="55" applyNumberFormat="1" applyFont="1" applyFill="1" applyAlignment="1">
      <alignment horizontal="right" vertical="top" wrapText="1"/>
    </xf>
    <xf numFmtId="3" fontId="4" fillId="0" borderId="0" xfId="0" applyNumberFormat="1" applyFont="1" applyFill="1" applyAlignment="1">
      <alignment horizontal="right" vertical="top" wrapText="1"/>
    </xf>
    <xf numFmtId="191" fontId="5" fillId="0" borderId="0" xfId="0" applyNumberFormat="1" applyFont="1" applyFill="1" applyAlignment="1">
      <alignment horizontal="right" vertical="top" wrapText="1"/>
    </xf>
    <xf numFmtId="0" fontId="4" fillId="0" borderId="0" xfId="0" applyFont="1" applyFill="1" applyAlignment="1">
      <alignment wrapText="1"/>
    </xf>
    <xf numFmtId="214" fontId="4" fillId="0" borderId="10" xfId="55" applyNumberFormat="1" applyFont="1" applyFill="1" applyBorder="1" applyAlignment="1">
      <alignment horizontal="right" vertical="top" wrapText="1"/>
    </xf>
    <xf numFmtId="3" fontId="4" fillId="0" borderId="10" xfId="0" applyNumberFormat="1" applyFont="1" applyFill="1" applyBorder="1" applyAlignment="1">
      <alignment horizontal="right" vertical="top" wrapText="1"/>
    </xf>
    <xf numFmtId="3" fontId="5" fillId="0" borderId="12" xfId="0" applyNumberFormat="1" applyFont="1" applyFill="1" applyBorder="1" applyAlignment="1">
      <alignment horizontal="right" vertical="top" wrapText="1"/>
    </xf>
    <xf numFmtId="191" fontId="4" fillId="0" borderId="0" xfId="0" applyNumberFormat="1" applyFont="1" applyFill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Alignment="1">
      <alignment horizontal="right" vertical="top" wrapText="1"/>
    </xf>
    <xf numFmtId="3" fontId="5" fillId="0" borderId="11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/>
    </xf>
    <xf numFmtId="191" fontId="4" fillId="0" borderId="10" xfId="55" applyNumberFormat="1" applyFont="1" applyFill="1" applyBorder="1" applyAlignment="1">
      <alignment horizontal="right" vertical="top" wrapText="1"/>
    </xf>
    <xf numFmtId="209" fontId="4" fillId="0" borderId="1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 wrapText="1"/>
    </xf>
    <xf numFmtId="14" fontId="3" fillId="0" borderId="0" xfId="0" applyNumberFormat="1" applyFont="1" applyAlignment="1">
      <alignment horizontal="right" vertical="top" wrapText="1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vertical="top" wrapText="1"/>
    </xf>
    <xf numFmtId="3" fontId="6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209" fontId="6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209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208" fontId="6" fillId="0" borderId="0" xfId="55" applyNumberFormat="1" applyFont="1" applyBorder="1" applyAlignment="1">
      <alignment/>
    </xf>
    <xf numFmtId="192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4" fillId="0" borderId="0" xfId="0" applyFont="1" applyBorder="1" applyAlignment="1">
      <alignment vertical="top" wrapText="1"/>
    </xf>
    <xf numFmtId="192" fontId="3" fillId="0" borderId="0" xfId="0" applyNumberFormat="1" applyFont="1" applyBorder="1" applyAlignment="1">
      <alignment horizontal="right" vertical="top" wrapText="1"/>
    </xf>
    <xf numFmtId="191" fontId="6" fillId="0" borderId="0" xfId="0" applyNumberFormat="1" applyFont="1" applyBorder="1" applyAlignment="1">
      <alignment/>
    </xf>
    <xf numFmtId="192" fontId="6" fillId="0" borderId="0" xfId="0" applyNumberFormat="1" applyFont="1" applyBorder="1" applyAlignment="1">
      <alignment horizontal="right" vertical="top" wrapText="1"/>
    </xf>
    <xf numFmtId="192" fontId="10" fillId="0" borderId="0" xfId="0" applyNumberFormat="1" applyFont="1" applyBorder="1" applyAlignment="1">
      <alignment horizontal="right" vertical="top" wrapText="1"/>
    </xf>
    <xf numFmtId="191" fontId="10" fillId="0" borderId="0" xfId="0" applyNumberFormat="1" applyFont="1" applyBorder="1" applyAlignment="1">
      <alignment/>
    </xf>
    <xf numFmtId="191" fontId="3" fillId="0" borderId="0" xfId="0" applyNumberFormat="1" applyFont="1" applyBorder="1" applyAlignment="1">
      <alignment/>
    </xf>
    <xf numFmtId="192" fontId="16" fillId="0" borderId="0" xfId="0" applyNumberFormat="1" applyFont="1" applyBorder="1" applyAlignment="1">
      <alignment horizontal="right" vertical="top" wrapText="1"/>
    </xf>
    <xf numFmtId="37" fontId="6" fillId="0" borderId="10" xfId="55" applyNumberFormat="1" applyFont="1" applyBorder="1" applyAlignment="1">
      <alignment/>
    </xf>
    <xf numFmtId="37" fontId="6" fillId="0" borderId="0" xfId="55" applyNumberFormat="1" applyFont="1" applyBorder="1" applyAlignment="1">
      <alignment/>
    </xf>
    <xf numFmtId="37" fontId="6" fillId="0" borderId="0" xfId="55" applyNumberFormat="1" applyFont="1" applyAlignment="1">
      <alignment/>
    </xf>
    <xf numFmtId="37" fontId="6" fillId="0" borderId="13" xfId="55" applyNumberFormat="1" applyFont="1" applyBorder="1" applyAlignment="1">
      <alignment horizontal="right" vertical="top" wrapText="1"/>
    </xf>
    <xf numFmtId="37" fontId="6" fillId="0" borderId="0" xfId="55" applyNumberFormat="1" applyFont="1" applyBorder="1" applyAlignment="1">
      <alignment horizontal="right" vertical="top" wrapText="1"/>
    </xf>
    <xf numFmtId="37" fontId="10" fillId="0" borderId="14" xfId="55" applyNumberFormat="1" applyFont="1" applyBorder="1" applyAlignment="1">
      <alignment horizontal="right" vertical="top" wrapText="1"/>
    </xf>
    <xf numFmtId="37" fontId="10" fillId="0" borderId="0" xfId="55" applyNumberFormat="1" applyFont="1" applyBorder="1" applyAlignment="1">
      <alignment horizontal="right" vertical="top" wrapText="1"/>
    </xf>
    <xf numFmtId="37" fontId="3" fillId="0" borderId="0" xfId="55" applyNumberFormat="1" applyFont="1" applyAlignment="1">
      <alignment/>
    </xf>
    <xf numFmtId="37" fontId="3" fillId="0" borderId="0" xfId="55" applyNumberFormat="1" applyFont="1" applyBorder="1" applyAlignment="1">
      <alignment/>
    </xf>
    <xf numFmtId="37" fontId="3" fillId="0" borderId="0" xfId="55" applyNumberFormat="1" applyFont="1" applyAlignment="1">
      <alignment horizontal="right" vertical="top" wrapText="1"/>
    </xf>
    <xf numFmtId="37" fontId="10" fillId="0" borderId="14" xfId="55" applyNumberFormat="1" applyFont="1" applyBorder="1" applyAlignment="1">
      <alignment/>
    </xf>
    <xf numFmtId="37" fontId="10" fillId="0" borderId="0" xfId="55" applyNumberFormat="1" applyFont="1" applyBorder="1" applyAlignment="1">
      <alignment/>
    </xf>
    <xf numFmtId="37" fontId="3" fillId="0" borderId="0" xfId="55" applyNumberFormat="1" applyFont="1" applyBorder="1" applyAlignment="1">
      <alignment horizontal="right" vertical="top" wrapText="1"/>
    </xf>
    <xf numFmtId="37" fontId="27" fillId="0" borderId="14" xfId="55" applyNumberFormat="1" applyFont="1" applyBorder="1" applyAlignment="1">
      <alignment horizontal="right" vertical="top" wrapText="1"/>
    </xf>
    <xf numFmtId="37" fontId="16" fillId="0" borderId="14" xfId="55" applyNumberFormat="1" applyFont="1" applyBorder="1" applyAlignment="1">
      <alignment horizontal="right" vertical="top" wrapText="1"/>
    </xf>
    <xf numFmtId="14" fontId="3" fillId="0" borderId="0" xfId="0" applyNumberFormat="1" applyFont="1" applyBorder="1" applyAlignment="1">
      <alignment horizontal="right" vertical="top" wrapText="1"/>
    </xf>
    <xf numFmtId="214" fontId="4" fillId="0" borderId="0" xfId="55" applyNumberFormat="1" applyFont="1" applyFill="1" applyAlignment="1">
      <alignment horizontal="right" wrapText="1"/>
    </xf>
    <xf numFmtId="191" fontId="5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09" fontId="5" fillId="0" borderId="0" xfId="0" applyNumberFormat="1" applyFont="1" applyBorder="1" applyAlignment="1">
      <alignment horizontal="right" vertical="center" wrapText="1"/>
    </xf>
    <xf numFmtId="192" fontId="5" fillId="0" borderId="0" xfId="0" applyNumberFormat="1" applyFont="1" applyBorder="1" applyAlignment="1">
      <alignment horizontal="right" vertical="top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top" wrapText="1"/>
    </xf>
    <xf numFmtId="214" fontId="4" fillId="0" borderId="0" xfId="55" applyNumberFormat="1" applyFont="1" applyFill="1" applyBorder="1" applyAlignment="1">
      <alignment horizontal="right" vertical="top" wrapText="1"/>
    </xf>
    <xf numFmtId="214" fontId="4" fillId="0" borderId="0" xfId="55" applyNumberFormat="1" applyFont="1" applyFill="1" applyBorder="1" applyAlignment="1">
      <alignment horizontal="right" wrapText="1"/>
    </xf>
    <xf numFmtId="214" fontId="4" fillId="0" borderId="0" xfId="55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94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92" fontId="4" fillId="0" borderId="0" xfId="0" applyNumberFormat="1" applyFont="1" applyBorder="1" applyAlignment="1">
      <alignment/>
    </xf>
    <xf numFmtId="192" fontId="64" fillId="0" borderId="0" xfId="0" applyNumberFormat="1" applyFont="1" applyBorder="1" applyAlignment="1">
      <alignment/>
    </xf>
    <xf numFmtId="209" fontId="5" fillId="0" borderId="0" xfId="0" applyNumberFormat="1" applyFont="1" applyBorder="1" applyAlignment="1">
      <alignment horizontal="right" vertical="top" wrapText="1"/>
    </xf>
    <xf numFmtId="209" fontId="5" fillId="0" borderId="14" xfId="0" applyNumberFormat="1" applyFont="1" applyBorder="1" applyAlignment="1">
      <alignment horizontal="right" vertical="top" wrapText="1"/>
    </xf>
    <xf numFmtId="209" fontId="7" fillId="0" borderId="11" xfId="0" applyNumberFormat="1" applyFont="1" applyBorder="1" applyAlignment="1">
      <alignment horizontal="right" vertical="top" wrapText="1"/>
    </xf>
    <xf numFmtId="209" fontId="4" fillId="0" borderId="11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0" fontId="65" fillId="0" borderId="0" xfId="0" applyFont="1" applyFill="1" applyAlignment="1">
      <alignment/>
    </xf>
    <xf numFmtId="208" fontId="4" fillId="0" borderId="0" xfId="55" applyNumberFormat="1" applyFont="1" applyFill="1" applyAlignment="1">
      <alignment/>
    </xf>
    <xf numFmtId="194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wrapText="1"/>
    </xf>
    <xf numFmtId="209" fontId="4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91" fontId="5" fillId="0" borderId="0" xfId="0" applyNumberFormat="1" applyFont="1" applyAlignment="1">
      <alignment horizontal="center" vertical="top" wrapText="1"/>
    </xf>
    <xf numFmtId="191" fontId="5" fillId="0" borderId="10" xfId="0" applyNumberFormat="1" applyFont="1" applyBorder="1" applyAlignment="1">
      <alignment horizontal="center" vertical="top" wrapText="1"/>
    </xf>
    <xf numFmtId="191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191" fontId="4" fillId="0" borderId="0" xfId="0" applyNumberFormat="1" applyFont="1" applyAlignment="1">
      <alignment horizontal="center" vertical="top" wrapText="1"/>
    </xf>
    <xf numFmtId="191" fontId="5" fillId="0" borderId="14" xfId="0" applyNumberFormat="1" applyFont="1" applyBorder="1" applyAlignment="1">
      <alignment horizontal="center" vertical="top" wrapText="1"/>
    </xf>
    <xf numFmtId="191" fontId="5" fillId="0" borderId="12" xfId="0" applyNumberFormat="1" applyFont="1" applyBorder="1" applyAlignment="1">
      <alignment horizontal="center" vertical="top" wrapText="1"/>
    </xf>
    <xf numFmtId="191" fontId="5" fillId="0" borderId="12" xfId="0" applyNumberFormat="1" applyFont="1" applyBorder="1" applyAlignment="1">
      <alignment horizontal="right" vertical="top" wrapText="1"/>
    </xf>
    <xf numFmtId="191" fontId="5" fillId="0" borderId="0" xfId="0" applyNumberFormat="1" applyFont="1" applyAlignment="1">
      <alignment horizontal="right" vertical="top" wrapText="1"/>
    </xf>
    <xf numFmtId="191" fontId="4" fillId="0" borderId="0" xfId="0" applyNumberFormat="1" applyFont="1" applyAlignment="1">
      <alignment horizontal="right" vertical="top" wrapText="1"/>
    </xf>
    <xf numFmtId="191" fontId="4" fillId="0" borderId="0" xfId="0" applyNumberFormat="1" applyFont="1" applyAlignment="1">
      <alignment horizontal="right"/>
    </xf>
    <xf numFmtId="191" fontId="5" fillId="0" borderId="11" xfId="0" applyNumberFormat="1" applyFont="1" applyBorder="1" applyAlignment="1">
      <alignment horizontal="right" vertical="top" wrapText="1"/>
    </xf>
    <xf numFmtId="191" fontId="4" fillId="0" borderId="0" xfId="0" applyNumberFormat="1" applyFont="1" applyAlignment="1">
      <alignment/>
    </xf>
    <xf numFmtId="191" fontId="5" fillId="0" borderId="11" xfId="0" applyNumberFormat="1" applyFont="1" applyBorder="1" applyAlignment="1">
      <alignment horizontal="right"/>
    </xf>
    <xf numFmtId="191" fontId="5" fillId="0" borderId="0" xfId="0" applyNumberFormat="1" applyFont="1" applyAlignment="1">
      <alignment horizontal="right"/>
    </xf>
    <xf numFmtId="0" fontId="5" fillId="0" borderId="0" xfId="33" applyFont="1" applyAlignment="1">
      <alignment horizontal="right"/>
      <protection/>
    </xf>
    <xf numFmtId="209" fontId="5" fillId="0" borderId="11" xfId="0" applyNumberFormat="1" applyFont="1" applyBorder="1" applyAlignment="1">
      <alignment horizontal="right" wrapText="1"/>
    </xf>
    <xf numFmtId="209" fontId="5" fillId="0" borderId="11" xfId="0" applyNumberFormat="1" applyFont="1" applyBorder="1" applyAlignment="1">
      <alignment horizontal="right" wrapText="1"/>
    </xf>
    <xf numFmtId="0" fontId="15" fillId="0" borderId="0" xfId="37" applyFont="1" applyAlignment="1">
      <alignment vertical="center" wrapText="1"/>
      <protection/>
    </xf>
    <xf numFmtId="169" fontId="4" fillId="0" borderId="0" xfId="55" applyNumberFormat="1" applyFont="1" applyAlignment="1">
      <alignment wrapText="1"/>
    </xf>
    <xf numFmtId="169" fontId="4" fillId="0" borderId="0" xfId="55" applyNumberFormat="1" applyFont="1" applyAlignment="1">
      <alignment horizontal="right"/>
    </xf>
    <xf numFmtId="0" fontId="4" fillId="0" borderId="0" xfId="36" applyFont="1" applyAlignment="1">
      <alignment vertical="center" wrapText="1"/>
      <protection/>
    </xf>
    <xf numFmtId="0" fontId="7" fillId="0" borderId="0" xfId="0" applyFont="1" applyAlignment="1">
      <alignment horizontal="left" vertical="top" wrapText="1" indent="1"/>
    </xf>
    <xf numFmtId="169" fontId="4" fillId="0" borderId="0" xfId="55" applyNumberFormat="1" applyFont="1" applyAlignment="1">
      <alignment horizontal="right" wrapText="1"/>
    </xf>
    <xf numFmtId="0" fontId="4" fillId="0" borderId="0" xfId="0" applyFont="1" applyAlignment="1">
      <alignment horizontal="left" vertical="top" wrapText="1"/>
    </xf>
    <xf numFmtId="209" fontId="4" fillId="5" borderId="0" xfId="0" applyNumberFormat="1" applyFont="1" applyFill="1" applyAlignment="1">
      <alignment/>
    </xf>
    <xf numFmtId="0" fontId="5" fillId="0" borderId="0" xfId="0" applyFont="1" applyAlignment="1">
      <alignment/>
    </xf>
    <xf numFmtId="191" fontId="5" fillId="0" borderId="0" xfId="0" applyNumberFormat="1" applyFont="1" applyAlignment="1">
      <alignment horizontal="right"/>
    </xf>
    <xf numFmtId="0" fontId="4" fillId="0" borderId="0" xfId="36" applyFont="1" applyAlignment="1">
      <alignment vertical="center" wrapText="1"/>
      <protection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top" wrapText="1" indent="1"/>
    </xf>
    <xf numFmtId="191" fontId="5" fillId="0" borderId="0" xfId="0" applyNumberFormat="1" applyFont="1" applyAlignment="1">
      <alignment/>
    </xf>
    <xf numFmtId="0" fontId="4" fillId="0" borderId="0" xfId="0" applyFont="1" applyAlignment="1">
      <alignment horizontal="left" vertical="top" wrapText="1"/>
    </xf>
    <xf numFmtId="191" fontId="4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7" fillId="0" borderId="0" xfId="0" applyFont="1" applyFill="1" applyAlignment="1">
      <alignment horizontal="left" wrapText="1"/>
    </xf>
    <xf numFmtId="209" fontId="5" fillId="0" borderId="0" xfId="0" applyNumberFormat="1" applyFont="1" applyFill="1" applyAlignment="1">
      <alignment horizontal="right" wrapText="1"/>
    </xf>
    <xf numFmtId="0" fontId="5" fillId="0" borderId="0" xfId="0" applyFont="1" applyAlignment="1">
      <alignment wrapText="1"/>
    </xf>
    <xf numFmtId="169" fontId="5" fillId="0" borderId="0" xfId="0" applyNumberFormat="1" applyFont="1" applyAlignment="1">
      <alignment horizontal="right"/>
    </xf>
    <xf numFmtId="169" fontId="4" fillId="0" borderId="0" xfId="0" applyNumberFormat="1" applyFont="1" applyAlignment="1">
      <alignment/>
    </xf>
    <xf numFmtId="169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right" wrapText="1"/>
    </xf>
    <xf numFmtId="169" fontId="4" fillId="0" borderId="0" xfId="0" applyNumberFormat="1" applyFont="1" applyAlignment="1">
      <alignment horizontal="right" wrapText="1"/>
    </xf>
    <xf numFmtId="0" fontId="4" fillId="0" borderId="0" xfId="0" applyFont="1" applyFill="1" applyAlignment="1">
      <alignment vertical="top" wrapText="1"/>
    </xf>
    <xf numFmtId="169" fontId="4" fillId="0" borderId="0" xfId="0" applyNumberFormat="1" applyFont="1" applyFill="1" applyAlignment="1">
      <alignment horizontal="right" wrapText="1"/>
    </xf>
    <xf numFmtId="169" fontId="4" fillId="0" borderId="0" xfId="0" applyNumberFormat="1" applyFont="1" applyFill="1" applyAlignment="1">
      <alignment horizontal="right" wrapText="1"/>
    </xf>
    <xf numFmtId="191" fontId="64" fillId="0" borderId="0" xfId="0" applyNumberFormat="1" applyFont="1" applyAlignment="1">
      <alignment/>
    </xf>
    <xf numFmtId="0" fontId="64" fillId="0" borderId="0" xfId="0" applyFont="1" applyAlignment="1">
      <alignment/>
    </xf>
    <xf numFmtId="191" fontId="64" fillId="0" borderId="0" xfId="0" applyNumberFormat="1" applyFont="1" applyAlignment="1">
      <alignment/>
    </xf>
    <xf numFmtId="0" fontId="64" fillId="0" borderId="0" xfId="0" applyFont="1" applyAlignment="1">
      <alignment/>
    </xf>
    <xf numFmtId="0" fontId="28" fillId="0" borderId="0" xfId="0" applyFont="1" applyAlignment="1">
      <alignment/>
    </xf>
    <xf numFmtId="0" fontId="7" fillId="0" borderId="0" xfId="0" applyFont="1" applyAlignment="1">
      <alignment/>
    </xf>
    <xf numFmtId="209" fontId="4" fillId="0" borderId="0" xfId="0" applyNumberFormat="1" applyFont="1" applyAlignment="1">
      <alignment/>
    </xf>
    <xf numFmtId="209" fontId="4" fillId="35" borderId="0" xfId="0" applyNumberFormat="1" applyFont="1" applyFill="1" applyAlignment="1">
      <alignment/>
    </xf>
    <xf numFmtId="209" fontId="4" fillId="0" borderId="0" xfId="0" applyNumberFormat="1" applyFont="1" applyFill="1" applyAlignment="1">
      <alignment horizontal="right" wrapText="1"/>
    </xf>
    <xf numFmtId="169" fontId="5" fillId="0" borderId="0" xfId="55" applyNumberFormat="1" applyFont="1" applyAlignment="1">
      <alignment horizontal="right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33" applyFont="1" applyAlignment="1">
      <alignment horizontal="right"/>
      <protection/>
    </xf>
    <xf numFmtId="191" fontId="5" fillId="0" borderId="11" xfId="0" applyNumberFormat="1" applyFont="1" applyBorder="1" applyAlignment="1">
      <alignment/>
    </xf>
    <xf numFmtId="191" fontId="5" fillId="0" borderId="0" xfId="0" applyNumberFormat="1" applyFont="1" applyAlignment="1">
      <alignment/>
    </xf>
    <xf numFmtId="169" fontId="5" fillId="0" borderId="0" xfId="55" applyNumberFormat="1" applyFont="1" applyAlignment="1">
      <alignment/>
    </xf>
    <xf numFmtId="169" fontId="5" fillId="0" borderId="0" xfId="0" applyNumberFormat="1" applyFont="1" applyAlignment="1">
      <alignment/>
    </xf>
    <xf numFmtId="169" fontId="5" fillId="0" borderId="0" xfId="0" applyNumberFormat="1" applyFont="1" applyAlignment="1">
      <alignment horizontal="right" wrapText="1"/>
    </xf>
    <xf numFmtId="169" fontId="5" fillId="0" borderId="0" xfId="0" applyNumberFormat="1" applyFont="1" applyFill="1" applyAlignment="1">
      <alignment horizontal="right" wrapText="1"/>
    </xf>
    <xf numFmtId="209" fontId="5" fillId="0" borderId="0" xfId="0" applyNumberFormat="1" applyFont="1" applyAlignment="1">
      <alignment/>
    </xf>
    <xf numFmtId="209" fontId="5" fillId="35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6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66" fillId="0" borderId="0" xfId="0" applyFont="1" applyFill="1" applyAlignment="1">
      <alignment horizontal="left" vertical="center" wrapText="1"/>
    </xf>
    <xf numFmtId="191" fontId="4" fillId="0" borderId="0" xfId="0" applyNumberFormat="1" applyFont="1" applyAlignment="1">
      <alignment horizontal="center" vertical="top" wrapText="1"/>
    </xf>
    <xf numFmtId="191" fontId="4" fillId="0" borderId="10" xfId="0" applyNumberFormat="1" applyFont="1" applyBorder="1" applyAlignment="1">
      <alignment horizontal="center" vertical="top" wrapText="1"/>
    </xf>
    <xf numFmtId="191" fontId="5" fillId="0" borderId="0" xfId="0" applyNumberFormat="1" applyFont="1" applyAlignment="1">
      <alignment horizontal="center" vertical="top" wrapText="1"/>
    </xf>
    <xf numFmtId="191" fontId="5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top" wrapText="1"/>
    </xf>
    <xf numFmtId="191" fontId="6" fillId="0" borderId="0" xfId="0" applyNumberFormat="1" applyFont="1" applyAlignment="1">
      <alignment horizontal="center" vertical="top" wrapText="1"/>
    </xf>
    <xf numFmtId="191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justify"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BAL" xfId="34"/>
    <cellStyle name="Normal_Financial statements 2000 Alcomet" xfId="35"/>
    <cellStyle name="Normal_Financial statements_bg model 2002" xfId="36"/>
    <cellStyle name="Normal_Financial statements_bg model 2002 2" xfId="37"/>
    <cellStyle name="Normal_IS_2006_Sopharma_Group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числение" xfId="58"/>
    <cellStyle name="Контролна клетка" xfId="59"/>
    <cellStyle name="Лош" xfId="60"/>
    <cellStyle name="Неутрален" xfId="61"/>
    <cellStyle name="Обяснителен текст" xfId="62"/>
    <cellStyle name="Предупредителен текст" xfId="63"/>
    <cellStyle name="Followed Hyperlink" xfId="64"/>
    <cellStyle name="Percent" xfId="65"/>
    <cellStyle name="Свързана клетка" xfId="66"/>
    <cellStyle name="Сума" xfId="67"/>
    <cellStyle name="Hyperlink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95250</xdr:rowOff>
    </xdr:from>
    <xdr:to>
      <xdr:col>2</xdr:col>
      <xdr:colOff>485775</xdr:colOff>
      <xdr:row>12</xdr:row>
      <xdr:rowOff>47625</xdr:rowOff>
    </xdr:to>
    <xdr:pic>
      <xdr:nvPicPr>
        <xdr:cNvPr id="1" name="Picture 1" descr="DlogoCol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57175"/>
          <a:ext cx="15049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28575</xdr:rowOff>
    </xdr:from>
    <xdr:to>
      <xdr:col>2</xdr:col>
      <xdr:colOff>495300</xdr:colOff>
      <xdr:row>11</xdr:row>
      <xdr:rowOff>142875</xdr:rowOff>
    </xdr:to>
    <xdr:pic>
      <xdr:nvPicPr>
        <xdr:cNvPr id="1" name="Picture 1" descr="DlogoCol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15049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6:E32"/>
  <sheetViews>
    <sheetView zoomScalePageLayoutView="0" workbookViewId="0" topLeftCell="A16">
      <selection activeCell="C22" sqref="C22"/>
    </sheetView>
  </sheetViews>
  <sheetFormatPr defaultColWidth="9.140625" defaultRowHeight="12.75"/>
  <sheetData>
    <row r="26" ht="18.75">
      <c r="E26" s="6" t="s">
        <v>150</v>
      </c>
    </row>
    <row r="27" ht="15.75">
      <c r="E27" s="7"/>
    </row>
    <row r="28" ht="15.75">
      <c r="E28" s="7" t="s">
        <v>339</v>
      </c>
    </row>
    <row r="29" ht="15.75">
      <c r="E29" s="7"/>
    </row>
    <row r="30" ht="15.75">
      <c r="E30" s="7" t="s">
        <v>163</v>
      </c>
    </row>
    <row r="31" ht="15.75">
      <c r="E31" s="8"/>
    </row>
    <row r="32" ht="15.75">
      <c r="E32" s="7" t="s">
        <v>331</v>
      </c>
    </row>
  </sheetData>
  <sheetProtection/>
  <printOptions/>
  <pageMargins left="0.67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1"/>
  <sheetViews>
    <sheetView zoomScalePageLayoutView="0" workbookViewId="0" topLeftCell="A176">
      <selection activeCell="J51" sqref="J51"/>
    </sheetView>
  </sheetViews>
  <sheetFormatPr defaultColWidth="9.140625" defaultRowHeight="12.75"/>
  <cols>
    <col min="1" max="1" width="36.421875" style="3" customWidth="1"/>
    <col min="2" max="2" width="10.28125" style="3" customWidth="1"/>
    <col min="3" max="3" width="12.7109375" style="3" customWidth="1"/>
    <col min="4" max="4" width="12.57421875" style="3" customWidth="1"/>
    <col min="5" max="5" width="13.28125" style="3" customWidth="1"/>
    <col min="6" max="6" width="2.7109375" style="3" hidden="1" customWidth="1"/>
    <col min="7" max="7" width="12.00390625" style="3" customWidth="1"/>
    <col min="8" max="8" width="13.7109375" style="3" customWidth="1"/>
    <col min="9" max="9" width="13.140625" style="3" customWidth="1"/>
    <col min="10" max="16384" width="9.140625" style="3" customWidth="1"/>
  </cols>
  <sheetData>
    <row r="1" spans="1:9" ht="13.5">
      <c r="A1" s="329" t="s">
        <v>90</v>
      </c>
      <c r="B1" s="329"/>
      <c r="C1" s="329"/>
      <c r="D1" s="329"/>
      <c r="E1" s="329"/>
      <c r="F1" s="78"/>
      <c r="G1" s="79"/>
      <c r="I1" s="80" t="s">
        <v>340</v>
      </c>
    </row>
    <row r="2" spans="1:6" ht="12.75">
      <c r="A2" s="330" t="s">
        <v>159</v>
      </c>
      <c r="B2" s="330"/>
      <c r="C2" s="330"/>
      <c r="D2" s="330"/>
      <c r="E2" s="330"/>
      <c r="F2" s="75"/>
    </row>
    <row r="3" spans="5:9" ht="12.75">
      <c r="E3" s="331" t="str">
        <f>'Statement of cash flows en'!F2</f>
        <v>For the period ended 31 December 2018</v>
      </c>
      <c r="F3" s="331"/>
      <c r="G3" s="331"/>
      <c r="H3" s="331"/>
      <c r="I3" s="331"/>
    </row>
    <row r="4" ht="12.75">
      <c r="F4" s="75"/>
    </row>
    <row r="5" spans="1:9" ht="33" customHeight="1">
      <c r="A5" s="75"/>
      <c r="B5" s="332" t="s">
        <v>91</v>
      </c>
      <c r="C5" s="332"/>
      <c r="D5" s="332"/>
      <c r="E5" s="332"/>
      <c r="F5" s="332"/>
      <c r="G5" s="332"/>
      <c r="H5" s="332"/>
      <c r="I5" s="333" t="s">
        <v>218</v>
      </c>
    </row>
    <row r="6" spans="1:9" ht="79.5" customHeight="1">
      <c r="A6" s="27" t="s">
        <v>18</v>
      </c>
      <c r="B6" s="76" t="s">
        <v>92</v>
      </c>
      <c r="C6" s="10" t="s">
        <v>0</v>
      </c>
      <c r="D6" s="76" t="s">
        <v>93</v>
      </c>
      <c r="E6" s="10" t="s">
        <v>94</v>
      </c>
      <c r="F6" s="77" t="s">
        <v>220</v>
      </c>
      <c r="G6" s="10" t="s">
        <v>95</v>
      </c>
      <c r="H6" s="11" t="s">
        <v>96</v>
      </c>
      <c r="I6" s="333"/>
    </row>
    <row r="7" spans="1:9" ht="15" customHeight="1" hidden="1">
      <c r="A7" s="3" t="s">
        <v>97</v>
      </c>
      <c r="B7" s="71">
        <v>6575</v>
      </c>
      <c r="C7" s="71" t="s">
        <v>118</v>
      </c>
      <c r="D7" s="71">
        <v>40</v>
      </c>
      <c r="E7" s="71">
        <f>657+11926+304</f>
        <v>12887</v>
      </c>
      <c r="F7" s="71"/>
      <c r="G7" s="71">
        <f>33450-1723</f>
        <v>31727</v>
      </c>
      <c r="H7" s="71">
        <f>SUM(B7:G7)</f>
        <v>51229</v>
      </c>
      <c r="I7" s="11">
        <v>23658</v>
      </c>
    </row>
    <row r="8" spans="1:9" ht="12.75" hidden="1">
      <c r="A8" s="12" t="s">
        <v>135</v>
      </c>
      <c r="B8" s="72"/>
      <c r="C8" s="72"/>
      <c r="D8" s="72"/>
      <c r="E8" s="72"/>
      <c r="F8" s="72"/>
      <c r="G8" s="73"/>
      <c r="H8" s="73">
        <f>SUM(B8:G8)</f>
        <v>0</v>
      </c>
      <c r="I8" s="25"/>
    </row>
    <row r="9" spans="1:9" ht="12.75" hidden="1">
      <c r="A9" s="13" t="s">
        <v>136</v>
      </c>
      <c r="B9" s="74">
        <f>SUM(B7:B8)</f>
        <v>6575</v>
      </c>
      <c r="C9" s="74">
        <f>SUM(C7:C8)</f>
        <v>0</v>
      </c>
      <c r="D9" s="74">
        <f>SUM(D7:D8)</f>
        <v>40</v>
      </c>
      <c r="E9" s="74">
        <f>SUM(E7:E8)</f>
        <v>12887</v>
      </c>
      <c r="F9" s="74"/>
      <c r="G9" s="74">
        <f>SUM(G7:G8)</f>
        <v>31727</v>
      </c>
      <c r="H9" s="74">
        <f>SUM(B9:G9)</f>
        <v>51229</v>
      </c>
      <c r="I9" s="74">
        <f>SUM(I7:I8)</f>
        <v>23658</v>
      </c>
    </row>
    <row r="10" spans="1:8" ht="12.75" hidden="1">
      <c r="A10" s="12"/>
      <c r="B10" s="71"/>
      <c r="C10" s="71"/>
      <c r="D10" s="71"/>
      <c r="E10" s="71"/>
      <c r="F10" s="71"/>
      <c r="G10" s="71"/>
      <c r="H10" s="71"/>
    </row>
    <row r="11" spans="1:8" ht="12.75" hidden="1">
      <c r="A11" s="13" t="s">
        <v>137</v>
      </c>
      <c r="B11" s="71"/>
      <c r="C11" s="71"/>
      <c r="D11" s="74"/>
      <c r="E11" s="71"/>
      <c r="F11" s="71"/>
      <c r="G11" s="71"/>
      <c r="H11" s="74">
        <f aca="true" t="shared" si="0" ref="H11:H19">SUM(B11:G11)</f>
        <v>0</v>
      </c>
    </row>
    <row r="12" spans="1:8" ht="12.75" hidden="1">
      <c r="A12" s="13" t="s">
        <v>138</v>
      </c>
      <c r="B12" s="71"/>
      <c r="C12" s="71"/>
      <c r="D12" s="74"/>
      <c r="E12" s="71"/>
      <c r="F12" s="71"/>
      <c r="G12" s="71"/>
      <c r="H12" s="74">
        <f t="shared" si="0"/>
        <v>0</v>
      </c>
    </row>
    <row r="13" spans="1:9" ht="12.75" hidden="1">
      <c r="A13" s="13" t="s">
        <v>139</v>
      </c>
      <c r="B13" s="72"/>
      <c r="C13" s="72"/>
      <c r="D13" s="72"/>
      <c r="E13" s="73"/>
      <c r="F13" s="73"/>
      <c r="G13" s="72"/>
      <c r="H13" s="72">
        <f t="shared" si="0"/>
        <v>0</v>
      </c>
      <c r="I13" s="25"/>
    </row>
    <row r="14" spans="1:8" ht="12.75" hidden="1">
      <c r="A14" s="13" t="s">
        <v>6</v>
      </c>
      <c r="B14" s="71"/>
      <c r="C14" s="71"/>
      <c r="D14" s="71"/>
      <c r="E14" s="71"/>
      <c r="F14" s="71"/>
      <c r="G14" s="74"/>
      <c r="H14" s="74">
        <f t="shared" si="0"/>
        <v>0</v>
      </c>
    </row>
    <row r="15" spans="1:9" ht="12.75" hidden="1">
      <c r="A15" s="13" t="s">
        <v>114</v>
      </c>
      <c r="B15" s="71"/>
      <c r="C15" s="71"/>
      <c r="D15" s="71"/>
      <c r="E15" s="71"/>
      <c r="F15" s="71"/>
      <c r="G15" s="74">
        <f>6882+301</f>
        <v>7183</v>
      </c>
      <c r="H15" s="74">
        <f t="shared" si="0"/>
        <v>7183</v>
      </c>
      <c r="I15" s="3">
        <f>1138-301</f>
        <v>837</v>
      </c>
    </row>
    <row r="16" spans="1:8" ht="12.75" hidden="1">
      <c r="A16" s="13" t="s">
        <v>141</v>
      </c>
      <c r="B16" s="71"/>
      <c r="C16" s="71"/>
      <c r="D16" s="71"/>
      <c r="E16" s="71"/>
      <c r="F16" s="71"/>
      <c r="G16" s="74">
        <v>0</v>
      </c>
      <c r="H16" s="74">
        <f t="shared" si="0"/>
        <v>0</v>
      </c>
    </row>
    <row r="17" spans="1:8" ht="12.75" hidden="1">
      <c r="A17" s="326" t="s">
        <v>7</v>
      </c>
      <c r="B17" s="327"/>
      <c r="C17" s="327" t="s">
        <v>118</v>
      </c>
      <c r="D17" s="328"/>
      <c r="E17" s="328">
        <v>32</v>
      </c>
      <c r="F17" s="71"/>
      <c r="G17" s="327">
        <v>-32</v>
      </c>
      <c r="H17" s="327">
        <f t="shared" si="0"/>
        <v>0</v>
      </c>
    </row>
    <row r="18" spans="1:8" ht="12.75" hidden="1">
      <c r="A18" s="326"/>
      <c r="B18" s="327"/>
      <c r="C18" s="327"/>
      <c r="D18" s="328"/>
      <c r="E18" s="328"/>
      <c r="F18" s="71"/>
      <c r="G18" s="327"/>
      <c r="H18" s="327">
        <f t="shared" si="0"/>
        <v>0</v>
      </c>
    </row>
    <row r="19" spans="1:9" ht="12.75" hidden="1">
      <c r="A19" s="13" t="s">
        <v>8</v>
      </c>
      <c r="B19" s="74"/>
      <c r="C19" s="74"/>
      <c r="D19" s="71"/>
      <c r="E19" s="71">
        <v>-2</v>
      </c>
      <c r="F19" s="71"/>
      <c r="G19" s="74">
        <v>-132</v>
      </c>
      <c r="H19" s="74">
        <f t="shared" si="0"/>
        <v>-134</v>
      </c>
      <c r="I19" s="3">
        <v>5719</v>
      </c>
    </row>
    <row r="20" spans="1:9" ht="12.75" hidden="1">
      <c r="A20" s="12" t="s">
        <v>169</v>
      </c>
      <c r="B20" s="81">
        <f>B9+B14+B15+B16+B17+B19</f>
        <v>6575</v>
      </c>
      <c r="C20" s="81">
        <f>SUM(C9,C17)</f>
        <v>0</v>
      </c>
      <c r="D20" s="81">
        <f>D9+D14+D15+D16+D17+D19</f>
        <v>40</v>
      </c>
      <c r="E20" s="81">
        <f>E9+E14+E15+E16+E17+E19</f>
        <v>12917</v>
      </c>
      <c r="F20" s="81"/>
      <c r="G20" s="81">
        <f>G9+G14+G15+G16+G17+G19</f>
        <v>38746</v>
      </c>
      <c r="H20" s="81">
        <f>H9+H14+H15+H16+H17+H19</f>
        <v>58278</v>
      </c>
      <c r="I20" s="81">
        <f>I9+I14+I15+I16+I17+I19</f>
        <v>30214</v>
      </c>
    </row>
    <row r="21" spans="1:8" ht="12.75" hidden="1">
      <c r="A21" s="12"/>
      <c r="B21" s="71"/>
      <c r="C21" s="71"/>
      <c r="D21" s="71"/>
      <c r="E21" s="71"/>
      <c r="F21" s="71"/>
      <c r="G21" s="71"/>
      <c r="H21" s="71"/>
    </row>
    <row r="22" spans="1:8" ht="12.75" hidden="1">
      <c r="A22" s="13" t="s">
        <v>156</v>
      </c>
      <c r="B22" s="71"/>
      <c r="C22" s="71"/>
      <c r="D22" s="71"/>
      <c r="E22" s="71"/>
      <c r="F22" s="71"/>
      <c r="G22" s="74">
        <v>3075</v>
      </c>
      <c r="H22" s="74">
        <f>SUM(B22:G22)</f>
        <v>3075</v>
      </c>
    </row>
    <row r="23" spans="1:8" ht="12.75" hidden="1">
      <c r="A23" s="13" t="s">
        <v>142</v>
      </c>
      <c r="B23" s="71"/>
      <c r="C23" s="71"/>
      <c r="D23" s="74">
        <v>-2</v>
      </c>
      <c r="E23" s="71"/>
      <c r="F23" s="71"/>
      <c r="G23" s="71"/>
      <c r="H23" s="74">
        <f aca="true" t="shared" si="1" ref="H23:H34">SUM(B23:G23)</f>
        <v>-2</v>
      </c>
    </row>
    <row r="24" spans="1:8" ht="12.75" hidden="1">
      <c r="A24" s="13" t="s">
        <v>143</v>
      </c>
      <c r="B24" s="71"/>
      <c r="C24" s="71"/>
      <c r="D24" s="74"/>
      <c r="E24" s="71"/>
      <c r="F24" s="71"/>
      <c r="G24" s="71"/>
      <c r="H24" s="74">
        <f t="shared" si="1"/>
        <v>0</v>
      </c>
    </row>
    <row r="25" spans="1:8" ht="12.75" hidden="1">
      <c r="A25" s="13" t="s">
        <v>139</v>
      </c>
      <c r="B25" s="71"/>
      <c r="C25" s="71"/>
      <c r="D25" s="71"/>
      <c r="E25" s="74"/>
      <c r="F25" s="74"/>
      <c r="G25" s="71"/>
      <c r="H25" s="74">
        <f t="shared" si="1"/>
        <v>0</v>
      </c>
    </row>
    <row r="26" spans="1:8" ht="12.75" hidden="1">
      <c r="A26" s="326" t="s">
        <v>140</v>
      </c>
      <c r="B26" s="328"/>
      <c r="C26" s="328"/>
      <c r="D26" s="74"/>
      <c r="E26" s="74"/>
      <c r="F26" s="74"/>
      <c r="G26" s="328"/>
      <c r="H26" s="74">
        <f t="shared" si="1"/>
        <v>0</v>
      </c>
    </row>
    <row r="27" spans="1:8" ht="12.75" hidden="1">
      <c r="A27" s="326"/>
      <c r="B27" s="328"/>
      <c r="C27" s="328"/>
      <c r="D27" s="74"/>
      <c r="E27" s="74"/>
      <c r="F27" s="74"/>
      <c r="G27" s="328"/>
      <c r="H27" s="74">
        <f t="shared" si="1"/>
        <v>0</v>
      </c>
    </row>
    <row r="28" spans="1:8" ht="12.75" hidden="1">
      <c r="A28" s="13" t="s">
        <v>165</v>
      </c>
      <c r="B28" s="71"/>
      <c r="C28" s="71"/>
      <c r="D28" s="74">
        <v>160</v>
      </c>
      <c r="E28" s="74"/>
      <c r="F28" s="74"/>
      <c r="G28" s="71"/>
      <c r="H28" s="74">
        <f t="shared" si="1"/>
        <v>160</v>
      </c>
    </row>
    <row r="29" spans="1:8" ht="12.75" hidden="1">
      <c r="A29" s="13" t="s">
        <v>6</v>
      </c>
      <c r="B29" s="71"/>
      <c r="C29" s="71"/>
      <c r="D29" s="71"/>
      <c r="E29" s="71"/>
      <c r="F29" s="71"/>
      <c r="G29" s="74">
        <v>-1309</v>
      </c>
      <c r="H29" s="74">
        <f t="shared" si="1"/>
        <v>-1309</v>
      </c>
    </row>
    <row r="30" spans="1:9" ht="12.75" hidden="1">
      <c r="A30" s="13" t="s">
        <v>114</v>
      </c>
      <c r="B30" s="71"/>
      <c r="C30" s="71"/>
      <c r="D30" s="71"/>
      <c r="E30" s="71"/>
      <c r="F30" s="71"/>
      <c r="G30" s="74">
        <v>1009</v>
      </c>
      <c r="H30" s="74">
        <f t="shared" si="1"/>
        <v>1009</v>
      </c>
      <c r="I30" s="3">
        <v>-447</v>
      </c>
    </row>
    <row r="31" spans="1:8" ht="12.75" hidden="1">
      <c r="A31" s="13" t="s">
        <v>7</v>
      </c>
      <c r="B31" s="71"/>
      <c r="C31" s="71"/>
      <c r="D31" s="71"/>
      <c r="E31" s="71"/>
      <c r="F31" s="71"/>
      <c r="G31" s="74">
        <v>-6486</v>
      </c>
      <c r="H31" s="74">
        <f t="shared" si="1"/>
        <v>-6486</v>
      </c>
    </row>
    <row r="32" spans="1:8" ht="12.75" hidden="1">
      <c r="A32" s="13" t="s">
        <v>144</v>
      </c>
      <c r="B32" s="71"/>
      <c r="C32" s="71"/>
      <c r="D32" s="71"/>
      <c r="E32" s="71"/>
      <c r="F32" s="71"/>
      <c r="G32" s="74">
        <v>-245</v>
      </c>
      <c r="H32" s="74">
        <f t="shared" si="1"/>
        <v>-245</v>
      </c>
    </row>
    <row r="33" spans="1:9" ht="12.75" hidden="1">
      <c r="A33" s="326" t="s">
        <v>8</v>
      </c>
      <c r="B33" s="327">
        <v>6575</v>
      </c>
      <c r="C33" s="327"/>
      <c r="D33" s="328"/>
      <c r="E33" s="327">
        <v>-5724</v>
      </c>
      <c r="F33" s="74"/>
      <c r="G33" s="327">
        <v>12252</v>
      </c>
      <c r="H33" s="74">
        <f t="shared" si="1"/>
        <v>13103</v>
      </c>
      <c r="I33" s="3">
        <v>-3060</v>
      </c>
    </row>
    <row r="34" spans="1:8" ht="12.75" hidden="1">
      <c r="A34" s="326"/>
      <c r="B34" s="327"/>
      <c r="C34" s="327"/>
      <c r="D34" s="328"/>
      <c r="E34" s="327"/>
      <c r="F34" s="74"/>
      <c r="G34" s="327"/>
      <c r="H34" s="74">
        <f t="shared" si="1"/>
        <v>0</v>
      </c>
    </row>
    <row r="35" spans="1:9" ht="13.5" hidden="1" thickBot="1">
      <c r="A35" s="12" t="s">
        <v>98</v>
      </c>
      <c r="B35" s="82">
        <f>'a st. of changes in equity bg'!B37</f>
        <v>13150</v>
      </c>
      <c r="C35" s="82"/>
      <c r="D35" s="82">
        <f>'a st. of changes in equity bg'!D37</f>
        <v>198</v>
      </c>
      <c r="E35" s="82">
        <f>'a st. of changes in equity bg'!E37</f>
        <v>7193</v>
      </c>
      <c r="F35" s="82"/>
      <c r="G35" s="82">
        <f>'a st. of changes in equity bg'!G37</f>
        <v>47042</v>
      </c>
      <c r="H35" s="82">
        <f>'a st. of changes in equity bg'!H37</f>
        <v>67583</v>
      </c>
      <c r="I35" s="82">
        <f>'a st. of changes in equity bg'!I37</f>
        <v>26707</v>
      </c>
    </row>
    <row r="36" spans="1:9" ht="13.5" hidden="1" thickTop="1">
      <c r="A36" s="13" t="s">
        <v>99</v>
      </c>
      <c r="B36" s="83">
        <f>'a st. of changes in equity bg'!B38</f>
        <v>0</v>
      </c>
      <c r="C36" s="83"/>
      <c r="D36" s="83">
        <f>'a st. of changes in equity bg'!D38</f>
        <v>0</v>
      </c>
      <c r="E36" s="83">
        <f>'a st. of changes in equity bg'!E38</f>
        <v>0</v>
      </c>
      <c r="F36" s="83"/>
      <c r="G36" s="83">
        <f>'a st. of changes in equity bg'!G38</f>
        <v>-4982</v>
      </c>
      <c r="H36" s="83">
        <f>'a st. of changes in equity bg'!H38</f>
        <v>-4982</v>
      </c>
      <c r="I36" s="83">
        <f>'a st. of changes in equity bg'!I38</f>
        <v>0</v>
      </c>
    </row>
    <row r="37" spans="1:9" ht="12.75" hidden="1">
      <c r="A37" s="13" t="s">
        <v>68</v>
      </c>
      <c r="B37" s="83">
        <f>'a st. of changes in equity bg'!B39</f>
        <v>0</v>
      </c>
      <c r="C37" s="22"/>
      <c r="D37" s="83">
        <f>'a st. of changes in equity bg'!D39</f>
        <v>0</v>
      </c>
      <c r="E37" s="83">
        <f>'a st. of changes in equity bg'!E39</f>
        <v>0</v>
      </c>
      <c r="F37" s="83"/>
      <c r="G37" s="83">
        <f>'a st. of changes in equity bg'!G39</f>
        <v>-2023</v>
      </c>
      <c r="H37" s="83">
        <f>'a st. of changes in equity bg'!H39</f>
        <v>-2023</v>
      </c>
      <c r="I37" s="83">
        <f>'a st. of changes in equity bg'!I39</f>
        <v>-1141</v>
      </c>
    </row>
    <row r="38" spans="1:9" ht="12.75" hidden="1">
      <c r="A38" s="13" t="s">
        <v>100</v>
      </c>
      <c r="B38" s="83">
        <f>'a st. of changes in equity bg'!B40</f>
        <v>0</v>
      </c>
      <c r="C38" s="22"/>
      <c r="D38" s="83">
        <f>'a st. of changes in equity bg'!D40</f>
        <v>0</v>
      </c>
      <c r="E38" s="83">
        <f>'a st. of changes in equity bg'!E40</f>
        <v>970</v>
      </c>
      <c r="F38" s="83"/>
      <c r="G38" s="83">
        <f>'a st. of changes in equity bg'!G40</f>
        <v>-970</v>
      </c>
      <c r="H38" s="83">
        <f>'a st. of changes in equity bg'!H40</f>
        <v>0</v>
      </c>
      <c r="I38" s="83">
        <f>'a st. of changes in equity bg'!I40</f>
        <v>0</v>
      </c>
    </row>
    <row r="39" spans="1:9" ht="15" customHeight="1" hidden="1">
      <c r="A39" s="3" t="s">
        <v>101</v>
      </c>
      <c r="B39" s="83">
        <f>'a st. of changes in equity bg'!B41</f>
        <v>0</v>
      </c>
      <c r="C39" s="22"/>
      <c r="D39" s="83">
        <f>'a st. of changes in equity bg'!D41</f>
        <v>0</v>
      </c>
      <c r="E39" s="83">
        <f>'a st. of changes in equity bg'!E41</f>
        <v>0</v>
      </c>
      <c r="F39" s="83"/>
      <c r="G39" s="83">
        <f>'a st. of changes in equity bg'!G41</f>
        <v>6063</v>
      </c>
      <c r="H39" s="83">
        <f>'a st. of changes in equity bg'!H41</f>
        <v>6063</v>
      </c>
      <c r="I39" s="83">
        <f>'a st. of changes in equity bg'!I41</f>
        <v>6226</v>
      </c>
    </row>
    <row r="40" spans="1:9" ht="13.5" hidden="1" thickBot="1">
      <c r="A40" s="11" t="s">
        <v>102</v>
      </c>
      <c r="B40" s="84">
        <f>'a st. of changes in equity bg'!B42</f>
        <v>13150</v>
      </c>
      <c r="C40" s="84"/>
      <c r="D40" s="84">
        <f>'a st. of changes in equity bg'!D42</f>
        <v>198</v>
      </c>
      <c r="E40" s="84">
        <f>'a st. of changes in equity bg'!E42</f>
        <v>8163</v>
      </c>
      <c r="F40" s="84"/>
      <c r="G40" s="84">
        <f>'a st. of changes in equity bg'!G42</f>
        <v>45130</v>
      </c>
      <c r="H40" s="84">
        <f>'a st. of changes in equity bg'!H42</f>
        <v>66641</v>
      </c>
      <c r="I40" s="84">
        <f>'a st. of changes in equity bg'!I42</f>
        <v>31792</v>
      </c>
    </row>
    <row r="41" spans="1:9" ht="13.5" hidden="1" thickTop="1">
      <c r="A41" s="13"/>
      <c r="B41" s="83">
        <f>'a st. of changes in equity bg'!B43</f>
        <v>0</v>
      </c>
      <c r="C41" s="83"/>
      <c r="D41" s="83">
        <f>'a st. of changes in equity bg'!D43</f>
        <v>0</v>
      </c>
      <c r="E41" s="83">
        <f>'a st. of changes in equity bg'!E43</f>
        <v>0</v>
      </c>
      <c r="F41" s="83"/>
      <c r="G41" s="83">
        <f>'a st. of changes in equity bg'!G43</f>
        <v>0</v>
      </c>
      <c r="H41" s="83">
        <f>'a st. of changes in equity bg'!H43</f>
        <v>0</v>
      </c>
      <c r="I41" s="83">
        <f>'a st. of changes in equity bg'!I43</f>
        <v>0</v>
      </c>
    </row>
    <row r="42" spans="1:9" ht="12.75" hidden="1">
      <c r="A42" s="13" t="s">
        <v>68</v>
      </c>
      <c r="B42" s="83">
        <f>'a st. of changes in equity bg'!B44</f>
        <v>0</v>
      </c>
      <c r="C42" s="22"/>
      <c r="D42" s="83">
        <f>'a st. of changes in equity bg'!D44</f>
        <v>0</v>
      </c>
      <c r="E42" s="83">
        <f>'a st. of changes in equity bg'!E44</f>
        <v>0</v>
      </c>
      <c r="F42" s="83"/>
      <c r="G42" s="83">
        <f>'a st. of changes in equity bg'!G44</f>
        <v>-365</v>
      </c>
      <c r="H42" s="83">
        <f>'a st. of changes in equity bg'!H44</f>
        <v>-365</v>
      </c>
      <c r="I42" s="83">
        <f>'a st. of changes in equity bg'!I44</f>
        <v>2750</v>
      </c>
    </row>
    <row r="43" spans="1:9" ht="15" customHeight="1" hidden="1">
      <c r="A43" s="13" t="s">
        <v>100</v>
      </c>
      <c r="B43" s="22">
        <f>'a st. of changes in equity bg'!B45+'a st. of changes in equity bg'!B46</f>
        <v>0</v>
      </c>
      <c r="C43" s="22"/>
      <c r="D43" s="22">
        <f>'a st. of changes in equity bg'!D45+'a st. of changes in equity bg'!D46</f>
        <v>0</v>
      </c>
      <c r="E43" s="22">
        <f>'a st. of changes in equity bg'!E45+'a st. of changes in equity bg'!E46</f>
        <v>1428</v>
      </c>
      <c r="F43" s="22"/>
      <c r="G43" s="22">
        <f>'a st. of changes in equity bg'!G45+'a st. of changes in equity bg'!G46</f>
        <v>0</v>
      </c>
      <c r="H43" s="22">
        <f>'a st. of changes in equity bg'!H45+'a st. of changes in equity bg'!H46</f>
        <v>1428</v>
      </c>
      <c r="I43" s="22">
        <f>'a st. of changes in equity bg'!I45+'a st. of changes in equity bg'!I46</f>
        <v>0</v>
      </c>
    </row>
    <row r="44" spans="1:9" ht="15" customHeight="1" hidden="1">
      <c r="A44" s="3" t="s">
        <v>101</v>
      </c>
      <c r="B44" s="83">
        <f>'a st. of changes in equity bg'!B47</f>
        <v>0</v>
      </c>
      <c r="C44" s="83"/>
      <c r="D44" s="83">
        <f>'a st. of changes in equity bg'!D47</f>
        <v>-1</v>
      </c>
      <c r="E44" s="83">
        <f>'a st. of changes in equity bg'!E47</f>
        <v>2</v>
      </c>
      <c r="F44" s="83"/>
      <c r="G44" s="83">
        <f>'a st. of changes in equity bg'!G47</f>
        <v>2231</v>
      </c>
      <c r="H44" s="83">
        <f>'a st. of changes in equity bg'!H47</f>
        <v>2232</v>
      </c>
      <c r="I44" s="83">
        <f>'a st. of changes in equity bg'!I47</f>
        <v>357</v>
      </c>
    </row>
    <row r="45" spans="1:9" ht="13.5" hidden="1" thickBot="1">
      <c r="A45" s="11" t="s">
        <v>103</v>
      </c>
      <c r="B45" s="84">
        <f>'a st. of changes in equity bg'!B48</f>
        <v>13150</v>
      </c>
      <c r="C45" s="84" t="e">
        <f>'a st. of changes in equity bg'!#REF!</f>
        <v>#REF!</v>
      </c>
      <c r="D45" s="84">
        <f>'a st. of changes in equity bg'!D48</f>
        <v>197</v>
      </c>
      <c r="E45" s="84">
        <f>'a st. of changes in equity bg'!E48</f>
        <v>9593</v>
      </c>
      <c r="F45" s="84"/>
      <c r="G45" s="84">
        <f>'a st. of changes in equity bg'!G48</f>
        <v>46996</v>
      </c>
      <c r="H45" s="84">
        <f>'a st. of changes in equity bg'!H48</f>
        <v>69936</v>
      </c>
      <c r="I45" s="84">
        <f>'a st. of changes in equity bg'!I48</f>
        <v>34899</v>
      </c>
    </row>
    <row r="46" ht="13.5" hidden="1" thickTop="1"/>
    <row r="47" spans="1:9" ht="12.75" hidden="1">
      <c r="A47" s="13" t="s">
        <v>10</v>
      </c>
      <c r="C47" s="3" t="e">
        <f>'a st. of changes in equity bg'!#REF!</f>
        <v>#REF!</v>
      </c>
      <c r="D47" s="3">
        <v>17146</v>
      </c>
      <c r="E47" s="3">
        <f>'a st. of changes in equity bg'!E51</f>
        <v>0</v>
      </c>
      <c r="G47" s="3">
        <v>-17146</v>
      </c>
      <c r="H47" s="3" t="e">
        <f>SUM(B47:G47)</f>
        <v>#REF!</v>
      </c>
      <c r="I47" s="3">
        <f>'a st. of changes in equity bg'!I51</f>
        <v>0</v>
      </c>
    </row>
    <row r="48" spans="1:9" ht="12.75" hidden="1">
      <c r="A48" s="13" t="s">
        <v>100</v>
      </c>
      <c r="C48" s="3" t="e">
        <f>'a st. of changes in equity bg'!#REF!</f>
        <v>#REF!</v>
      </c>
      <c r="D48" s="3">
        <v>59321</v>
      </c>
      <c r="E48" s="3">
        <f>'a st. of changes in equity bg'!E52</f>
        <v>87</v>
      </c>
      <c r="G48" s="3">
        <f>'a st. of changes in equity bg'!G52</f>
        <v>0</v>
      </c>
      <c r="H48" s="3" t="e">
        <f>SUM(B48:G48)</f>
        <v>#REF!</v>
      </c>
      <c r="I48" s="3">
        <f>'a st. of changes in equity bg'!I52</f>
        <v>0</v>
      </c>
    </row>
    <row r="49" spans="1:9" ht="12.75" hidden="1">
      <c r="A49" s="13" t="s">
        <v>68</v>
      </c>
      <c r="C49" s="3" t="e">
        <f>'a st. of changes in equity bg'!#REF!</f>
        <v>#REF!</v>
      </c>
      <c r="D49" s="3">
        <f>'a st. of changes in equity bg'!D53</f>
        <v>0</v>
      </c>
      <c r="E49" s="3">
        <f>'a st. of changes in equity bg'!E53</f>
        <v>0</v>
      </c>
      <c r="G49" s="3">
        <f>'a st. of changes in equity bg'!G53</f>
        <v>10540</v>
      </c>
      <c r="H49" s="3" t="e">
        <f>SUM(B49:G49)</f>
        <v>#REF!</v>
      </c>
      <c r="I49" s="3">
        <f>'a st. of changes in equity bg'!I53</f>
        <v>6223</v>
      </c>
    </row>
    <row r="50" spans="1:9" ht="12.75" hidden="1">
      <c r="A50" s="3" t="s">
        <v>101</v>
      </c>
      <c r="C50" s="3" t="e">
        <f>'a st. of changes in equity bg'!#REF!</f>
        <v>#REF!</v>
      </c>
      <c r="D50" s="3">
        <f>'a st. of changes in equity bg'!D54</f>
        <v>0</v>
      </c>
      <c r="E50" s="3">
        <f>'a st. of changes in equity bg'!E54</f>
        <v>0</v>
      </c>
      <c r="G50" s="3">
        <f>'a st. of changes in equity bg'!G54</f>
        <v>-11911</v>
      </c>
      <c r="H50" s="3" t="e">
        <f>SUM(B50:G50)</f>
        <v>#REF!</v>
      </c>
      <c r="I50" s="3">
        <f>'a st. of changes in equity bg'!I54</f>
        <v>31545</v>
      </c>
    </row>
    <row r="51" spans="1:9" ht="13.5" hidden="1" thickBot="1">
      <c r="A51" s="11" t="s">
        <v>162</v>
      </c>
      <c r="B51" s="85">
        <f aca="true" t="shared" si="2" ref="B51:I51">B45+B47+B48+B49+B50</f>
        <v>13150</v>
      </c>
      <c r="C51" s="85" t="e">
        <f t="shared" si="2"/>
        <v>#REF!</v>
      </c>
      <c r="D51" s="85">
        <f t="shared" si="2"/>
        <v>76664</v>
      </c>
      <c r="E51" s="85">
        <f t="shared" si="2"/>
        <v>9680</v>
      </c>
      <c r="F51" s="85"/>
      <c r="G51" s="85">
        <f t="shared" si="2"/>
        <v>28479</v>
      </c>
      <c r="H51" s="85" t="e">
        <f t="shared" si="2"/>
        <v>#REF!</v>
      </c>
      <c r="I51" s="85">
        <f t="shared" si="2"/>
        <v>72667</v>
      </c>
    </row>
    <row r="52" spans="1:9" ht="13.5" hidden="1" thickTop="1">
      <c r="A52" s="11"/>
      <c r="B52" s="34"/>
      <c r="C52" s="34"/>
      <c r="D52" s="34"/>
      <c r="E52" s="34"/>
      <c r="F52" s="34"/>
      <c r="G52" s="34"/>
      <c r="H52" s="34"/>
      <c r="I52" s="34"/>
    </row>
    <row r="53" spans="1:9" ht="12.75" hidden="1">
      <c r="A53" s="3" t="s">
        <v>16</v>
      </c>
      <c r="B53" s="32">
        <f>'a st. of changes in equity bg'!B57</f>
        <v>856</v>
      </c>
      <c r="C53" s="34"/>
      <c r="D53" s="34"/>
      <c r="E53" s="34"/>
      <c r="F53" s="34"/>
      <c r="G53" s="34"/>
      <c r="H53" s="32">
        <f>SUM(B53:G53)</f>
        <v>856</v>
      </c>
      <c r="I53" s="34"/>
    </row>
    <row r="54" spans="1:9" ht="12.75" hidden="1">
      <c r="A54" s="3" t="s">
        <v>16</v>
      </c>
      <c r="B54" s="32"/>
      <c r="C54" s="32">
        <f>'a st. of changes in equity bg'!C57:C57</f>
        <v>9419</v>
      </c>
      <c r="D54" s="34"/>
      <c r="E54" s="34"/>
      <c r="F54" s="34"/>
      <c r="G54" s="34"/>
      <c r="H54" s="32">
        <f>SUM(B54:G54)</f>
        <v>9419</v>
      </c>
      <c r="I54" s="34"/>
    </row>
    <row r="55" spans="1:9" ht="12.75" hidden="1">
      <c r="A55" s="13" t="s">
        <v>68</v>
      </c>
      <c r="B55" s="32">
        <f>'a st. of changes in equity bg'!B58</f>
        <v>0</v>
      </c>
      <c r="C55" s="32" t="e">
        <f>'a st. of changes in equity bg'!#REF!</f>
        <v>#REF!</v>
      </c>
      <c r="D55" s="32">
        <f>'a st. of changes in equity bg'!C58</f>
        <v>0</v>
      </c>
      <c r="E55" s="32">
        <f>'a st. of changes in equity bg'!E58</f>
        <v>173</v>
      </c>
      <c r="F55" s="32"/>
      <c r="G55" s="32">
        <f>'a st. of changes in equity bg'!G58</f>
        <v>3541</v>
      </c>
      <c r="H55" s="32" t="e">
        <f>SUM(B55:G55)</f>
        <v>#REF!</v>
      </c>
      <c r="I55" s="32">
        <f>'a st. of changes in equity bg'!I58</f>
        <v>4139</v>
      </c>
    </row>
    <row r="56" spans="1:9" ht="12.75" hidden="1">
      <c r="A56" s="13" t="s">
        <v>208</v>
      </c>
      <c r="B56" s="32"/>
      <c r="C56" s="32"/>
      <c r="D56" s="32">
        <f>'a st. of changes in equity bg'!D59</f>
        <v>-363</v>
      </c>
      <c r="E56" s="32"/>
      <c r="F56" s="32">
        <f>'a st. of changes in equity bg'!F59</f>
        <v>45</v>
      </c>
      <c r="G56" s="32"/>
      <c r="H56" s="32">
        <f>SUM(B56:G56)</f>
        <v>-318</v>
      </c>
      <c r="I56" s="32"/>
    </row>
    <row r="57" spans="1:9" ht="12.75" hidden="1">
      <c r="A57" s="3" t="s">
        <v>101</v>
      </c>
      <c r="B57" s="32">
        <f>'a st. of changes in equity bg'!B60</f>
        <v>0</v>
      </c>
      <c r="C57" s="32" t="e">
        <f>'a st. of changes in equity bg'!#REF!</f>
        <v>#REF!</v>
      </c>
      <c r="D57" s="32">
        <f>'a st. of changes in equity bg'!D60</f>
        <v>0</v>
      </c>
      <c r="E57" s="3">
        <v>5</v>
      </c>
      <c r="G57" s="32">
        <f>'a st. of changes in equity bg'!G60</f>
        <v>-8771</v>
      </c>
      <c r="H57" s="32" t="e">
        <f>SUM(B57:G57)</f>
        <v>#REF!</v>
      </c>
      <c r="I57" s="32">
        <f>'a st. of changes in equity bg'!I60</f>
        <v>-7287</v>
      </c>
    </row>
    <row r="58" spans="1:9" ht="13.5" hidden="1" thickBot="1">
      <c r="A58" s="11" t="s">
        <v>223</v>
      </c>
      <c r="B58" s="86">
        <f>SUM(B51:B57)</f>
        <v>14006</v>
      </c>
      <c r="C58" s="86" t="e">
        <f aca="true" t="shared" si="3" ref="C58:I58">SUM(C51:C57)</f>
        <v>#REF!</v>
      </c>
      <c r="D58" s="86">
        <f>SUM(D51:D57)</f>
        <v>76301</v>
      </c>
      <c r="E58" s="86">
        <f t="shared" si="3"/>
        <v>9858</v>
      </c>
      <c r="F58" s="86">
        <f t="shared" si="3"/>
        <v>45</v>
      </c>
      <c r="G58" s="86">
        <f>SUM(G51:G57)</f>
        <v>23249</v>
      </c>
      <c r="H58" s="86" t="e">
        <f t="shared" si="3"/>
        <v>#REF!</v>
      </c>
      <c r="I58" s="86">
        <f t="shared" si="3"/>
        <v>69519</v>
      </c>
    </row>
    <row r="59" spans="1:9" ht="13.5" hidden="1" thickTop="1">
      <c r="A59" s="11"/>
      <c r="B59" s="34"/>
      <c r="D59" s="34"/>
      <c r="E59" s="34"/>
      <c r="F59" s="34"/>
      <c r="G59" s="34"/>
      <c r="H59" s="34"/>
      <c r="I59" s="34"/>
    </row>
    <row r="60" spans="1:9" ht="12.75" hidden="1">
      <c r="A60" s="13" t="s">
        <v>68</v>
      </c>
      <c r="B60" s="34"/>
      <c r="D60" s="34"/>
      <c r="E60" s="32"/>
      <c r="F60" s="32"/>
      <c r="G60" s="32">
        <f>'a st. of changes in equity bg'!G63</f>
        <v>-8893</v>
      </c>
      <c r="H60" s="32">
        <f>SUM(B60:G60)</f>
        <v>-8893</v>
      </c>
      <c r="I60" s="32">
        <f>'a st. of changes in equity bg'!I63</f>
        <v>-1731</v>
      </c>
    </row>
    <row r="61" spans="1:9" ht="12.75" hidden="1">
      <c r="A61" s="3" t="s">
        <v>16</v>
      </c>
      <c r="B61" s="32"/>
      <c r="C61" s="32"/>
      <c r="E61" s="32"/>
      <c r="F61" s="32"/>
      <c r="G61" s="32"/>
      <c r="H61" s="32">
        <f>SUM(B61:G61)</f>
        <v>0</v>
      </c>
      <c r="I61" s="32"/>
    </row>
    <row r="62" spans="1:9" ht="12.75" hidden="1">
      <c r="A62" s="13" t="s">
        <v>208</v>
      </c>
      <c r="B62" s="32"/>
      <c r="D62" s="32">
        <f>'a st. of changes in equity bg'!D65</f>
        <v>-1894</v>
      </c>
      <c r="E62" s="32">
        <f>'a st. of changes in equity bg'!E65</f>
        <v>0</v>
      </c>
      <c r="F62" s="32">
        <f>'a st. of changes in equity bg'!F65</f>
        <v>-127</v>
      </c>
      <c r="G62" s="32">
        <f>'a st. of changes in equity bg'!G65</f>
        <v>1894</v>
      </c>
      <c r="H62" s="32">
        <f>SUM(B62:G62)</f>
        <v>-127</v>
      </c>
      <c r="I62" s="32"/>
    </row>
    <row r="63" spans="1:9" ht="12.75" hidden="1">
      <c r="A63" s="3" t="s">
        <v>101</v>
      </c>
      <c r="B63" s="34"/>
      <c r="D63" s="32"/>
      <c r="E63" s="34"/>
      <c r="F63" s="34"/>
      <c r="G63" s="32">
        <f>'a st. of changes in equity bg'!G66</f>
        <v>6138</v>
      </c>
      <c r="H63" s="32">
        <f>SUM(B63:G63)</f>
        <v>6138</v>
      </c>
      <c r="I63" s="32">
        <f>'a st. of changes in equity bg'!I66</f>
        <v>1162</v>
      </c>
    </row>
    <row r="64" spans="1:9" ht="13.5" hidden="1" thickBot="1">
      <c r="A64" s="11" t="s">
        <v>195</v>
      </c>
      <c r="B64" s="87">
        <f>SUM(B58:B63)</f>
        <v>14006</v>
      </c>
      <c r="C64" s="87" t="e">
        <f aca="true" t="shared" si="4" ref="C64:I64">SUM(C58:C63)</f>
        <v>#REF!</v>
      </c>
      <c r="D64" s="87">
        <f t="shared" si="4"/>
        <v>74407</v>
      </c>
      <c r="E64" s="87">
        <f t="shared" si="4"/>
        <v>9858</v>
      </c>
      <c r="F64" s="87">
        <f t="shared" si="4"/>
        <v>-82</v>
      </c>
      <c r="G64" s="87">
        <f t="shared" si="4"/>
        <v>22388</v>
      </c>
      <c r="H64" s="87" t="e">
        <f t="shared" si="4"/>
        <v>#REF!</v>
      </c>
      <c r="I64" s="87">
        <f t="shared" si="4"/>
        <v>68950</v>
      </c>
    </row>
    <row r="65" spans="1:9" ht="13.5" hidden="1" thickTop="1">
      <c r="A65" s="11"/>
      <c r="B65" s="88"/>
      <c r="C65" s="88"/>
      <c r="D65" s="88"/>
      <c r="E65" s="88"/>
      <c r="F65" s="88"/>
      <c r="G65" s="88"/>
      <c r="H65" s="88"/>
      <c r="I65" s="88"/>
    </row>
    <row r="66" spans="1:9" ht="12.75" hidden="1">
      <c r="A66" s="13" t="s">
        <v>68</v>
      </c>
      <c r="B66" s="88"/>
      <c r="C66" s="88"/>
      <c r="D66" s="88"/>
      <c r="E66" s="88"/>
      <c r="F66" s="88"/>
      <c r="G66" s="89">
        <f>'a st. of changes in equity bg'!G69</f>
        <v>0</v>
      </c>
      <c r="H66" s="88">
        <f>SUM(B66:G66)</f>
        <v>0</v>
      </c>
      <c r="I66" s="89">
        <f>'a st. of changes in equity bg'!I69</f>
        <v>0</v>
      </c>
    </row>
    <row r="67" spans="1:9" ht="12.75" hidden="1">
      <c r="A67" s="13" t="s">
        <v>208</v>
      </c>
      <c r="B67" s="89" t="e">
        <f>'a st. of changes in equity bg'!#REF!</f>
        <v>#REF!</v>
      </c>
      <c r="C67" s="89">
        <f>'a st. of changes in equity bg'!C70</f>
        <v>0</v>
      </c>
      <c r="D67" s="89">
        <f>'a st. of changes in equity bg'!D70</f>
        <v>0</v>
      </c>
      <c r="E67" s="89">
        <f>'a st. of changes in equity bg'!E70</f>
        <v>0</v>
      </c>
      <c r="F67" s="89">
        <f>'a st. of changes in equity bg'!F70</f>
        <v>0</v>
      </c>
      <c r="G67" s="89">
        <f>'a st. of changes in equity bg'!G70</f>
        <v>0</v>
      </c>
      <c r="H67" s="88" t="e">
        <f>SUM(B67:G67)</f>
        <v>#REF!</v>
      </c>
      <c r="I67" s="89">
        <f>'a st. of changes in equity bg'!I70</f>
        <v>0</v>
      </c>
    </row>
    <row r="68" spans="1:9" ht="12.75" hidden="1">
      <c r="A68" s="3" t="s">
        <v>101</v>
      </c>
      <c r="B68" s="88"/>
      <c r="C68" s="88"/>
      <c r="D68" s="89">
        <f>'a st. of changes in equity bg'!D71</f>
        <v>0</v>
      </c>
      <c r="E68" s="88"/>
      <c r="F68" s="88"/>
      <c r="G68" s="89">
        <f>'a st. of changes in equity bg'!G71</f>
        <v>0</v>
      </c>
      <c r="H68" s="88">
        <f>SUM(B68:G68)</f>
        <v>0</v>
      </c>
      <c r="I68" s="89">
        <f>'a st. of changes in equity bg'!I71</f>
        <v>0</v>
      </c>
    </row>
    <row r="69" spans="1:9" ht="13.5" hidden="1" thickBot="1">
      <c r="A69" s="11" t="s">
        <v>230</v>
      </c>
      <c r="B69" s="90" t="e">
        <f>SUM(B64:B67)</f>
        <v>#REF!</v>
      </c>
      <c r="C69" s="90" t="e">
        <f>SUM(C64:C67)</f>
        <v>#REF!</v>
      </c>
      <c r="D69" s="90">
        <f>SUM(D64:D68)</f>
        <v>74407</v>
      </c>
      <c r="E69" s="90">
        <f>SUM(E64:E67)</f>
        <v>9858</v>
      </c>
      <c r="F69" s="90">
        <f>SUM(F64:F67)</f>
        <v>-82</v>
      </c>
      <c r="G69" s="90">
        <f>SUM(G64:G68)</f>
        <v>22388</v>
      </c>
      <c r="H69" s="90" t="e">
        <f>SUM(H64:H68)</f>
        <v>#REF!</v>
      </c>
      <c r="I69" s="90">
        <f>SUM(I64:I68)</f>
        <v>68950</v>
      </c>
    </row>
    <row r="70" spans="1:9" ht="13.5" hidden="1" thickTop="1">
      <c r="A70" s="11"/>
      <c r="B70" s="88"/>
      <c r="C70" s="88"/>
      <c r="D70" s="88"/>
      <c r="E70" s="88"/>
      <c r="F70" s="88"/>
      <c r="G70" s="88"/>
      <c r="H70" s="88"/>
      <c r="I70" s="88"/>
    </row>
    <row r="71" spans="1:9" ht="12.75" hidden="1">
      <c r="A71" s="13" t="s">
        <v>68</v>
      </c>
      <c r="B71" s="89" t="e">
        <f>'a st. of changes in equity bg'!#REF!</f>
        <v>#REF!</v>
      </c>
      <c r="C71" s="89">
        <f>'a st. of changes in equity bg'!C74</f>
        <v>0</v>
      </c>
      <c r="D71" s="89">
        <f>'a st. of changes in equity bg'!D74</f>
        <v>0</v>
      </c>
      <c r="E71" s="89">
        <f>'a st. of changes in equity bg'!E74</f>
        <v>0</v>
      </c>
      <c r="F71" s="89">
        <f>'a st. of changes in equity bg'!F74</f>
        <v>0</v>
      </c>
      <c r="G71" s="89">
        <f>'a st. of changes in equity bg'!G74</f>
        <v>-1829</v>
      </c>
      <c r="H71" s="88">
        <f>'a st. of changes in equity bg'!H74</f>
        <v>-1829</v>
      </c>
      <c r="I71" s="89">
        <f>'a st. of changes in equity bg'!I74</f>
        <v>-169</v>
      </c>
    </row>
    <row r="72" spans="1:9" ht="12.75" hidden="1">
      <c r="A72" s="13" t="s">
        <v>208</v>
      </c>
      <c r="B72" s="89" t="e">
        <f>'a st. of changes in equity bg'!#REF!</f>
        <v>#REF!</v>
      </c>
      <c r="C72" s="89">
        <f>'a st. of changes in equity bg'!C75</f>
        <v>0</v>
      </c>
      <c r="D72" s="89">
        <f>'a st. of changes in equity bg'!D75</f>
        <v>-246</v>
      </c>
      <c r="E72" s="89">
        <f>'a st. of changes in equity bg'!E75</f>
        <v>1551</v>
      </c>
      <c r="F72" s="89">
        <f>'a st. of changes in equity bg'!F75</f>
        <v>-973</v>
      </c>
      <c r="G72" s="89">
        <f>'a st. of changes in equity bg'!G75</f>
        <v>0</v>
      </c>
      <c r="H72" s="88">
        <f>'a st. of changes in equity bg'!H75</f>
        <v>332</v>
      </c>
      <c r="I72" s="89">
        <f>'a st. of changes in equity bg'!I75</f>
        <v>0</v>
      </c>
    </row>
    <row r="73" spans="1:9" ht="12.75" hidden="1">
      <c r="A73" s="13" t="s">
        <v>100</v>
      </c>
      <c r="B73" s="89" t="e">
        <f>'a st. of changes in equity bg'!#REF!</f>
        <v>#REF!</v>
      </c>
      <c r="C73" s="89">
        <f>'a st. of changes in equity bg'!C76</f>
        <v>0</v>
      </c>
      <c r="D73" s="89">
        <f>'a st. of changes in equity bg'!D76</f>
        <v>0</v>
      </c>
      <c r="E73" s="89">
        <f>'a st. of changes in equity bg'!E76</f>
        <v>0</v>
      </c>
      <c r="F73" s="89">
        <f>'a st. of changes in equity bg'!F76</f>
        <v>0</v>
      </c>
      <c r="G73" s="89">
        <f>'a st. of changes in equity bg'!G76</f>
        <v>0</v>
      </c>
      <c r="H73" s="88">
        <f>'a st. of changes in equity bg'!H76</f>
        <v>0</v>
      </c>
      <c r="I73" s="89">
        <f>'a st. of changes in equity bg'!I76</f>
        <v>0</v>
      </c>
    </row>
    <row r="74" spans="1:9" ht="12.75" hidden="1">
      <c r="A74" s="3" t="s">
        <v>101</v>
      </c>
      <c r="B74" s="89" t="e">
        <f>'a st. of changes in equity bg'!#REF!</f>
        <v>#REF!</v>
      </c>
      <c r="C74" s="89">
        <f>'a st. of changes in equity bg'!C77</f>
        <v>0</v>
      </c>
      <c r="D74" s="89">
        <f>'a st. of changes in equity bg'!D77</f>
        <v>0</v>
      </c>
      <c r="E74" s="89">
        <f>'a st. of changes in equity bg'!E77</f>
        <v>3</v>
      </c>
      <c r="F74" s="89">
        <f>'a st. of changes in equity bg'!F77</f>
        <v>0</v>
      </c>
      <c r="G74" s="89">
        <f>'a st. of changes in equity bg'!G77</f>
        <v>-6580</v>
      </c>
      <c r="H74" s="88">
        <f>'a st. of changes in equity bg'!H77</f>
        <v>-6577</v>
      </c>
      <c r="I74" s="89">
        <f>'a st. of changes in equity bg'!I77</f>
        <v>5241</v>
      </c>
    </row>
    <row r="75" spans="1:9" ht="13.5" hidden="1" thickBot="1">
      <c r="A75" s="11" t="s">
        <v>228</v>
      </c>
      <c r="B75" s="90" t="e">
        <f>SUM(B69:B74)</f>
        <v>#REF!</v>
      </c>
      <c r="C75" s="90">
        <f>'a st. of changes in equity bg'!C78</f>
        <v>9419</v>
      </c>
      <c r="D75" s="90">
        <f>'a st. of changes in equity bg'!D78</f>
        <v>74161</v>
      </c>
      <c r="E75" s="90">
        <f>'a st. of changes in equity bg'!E78</f>
        <v>11412</v>
      </c>
      <c r="F75" s="90">
        <f>'a st. of changes in equity bg'!F78</f>
        <v>-1055</v>
      </c>
      <c r="G75" s="90">
        <f>'a st. of changes in equity bg'!G78</f>
        <v>13979</v>
      </c>
      <c r="H75" s="90">
        <f>'a st. of changes in equity bg'!H78</f>
        <v>121922</v>
      </c>
      <c r="I75" s="90">
        <f>'a st. of changes in equity bg'!I78</f>
        <v>74022</v>
      </c>
    </row>
    <row r="76" spans="1:9" ht="13.5" hidden="1" thickTop="1">
      <c r="A76" s="11"/>
      <c r="B76" s="88"/>
      <c r="C76" s="88"/>
      <c r="D76" s="88"/>
      <c r="E76" s="88"/>
      <c r="F76" s="88"/>
      <c r="G76" s="88"/>
      <c r="H76" s="88"/>
      <c r="I76" s="88"/>
    </row>
    <row r="77" spans="1:9" ht="12.75" hidden="1">
      <c r="A77" s="13" t="s">
        <v>68</v>
      </c>
      <c r="B77" s="88">
        <f>'a st. of changes in equity bg'!B80</f>
        <v>0</v>
      </c>
      <c r="C77" s="88" t="e">
        <f>'a st. of changes in equity bg'!#REF!</f>
        <v>#REF!</v>
      </c>
      <c r="D77" s="88">
        <f>'a st. of changes in equity bg'!C80</f>
        <v>0</v>
      </c>
      <c r="E77" s="88">
        <f>'a st. of changes in equity bg'!D80</f>
        <v>0</v>
      </c>
      <c r="F77" s="89">
        <f>'a st. of changes in equity bg'!F80</f>
        <v>0</v>
      </c>
      <c r="G77" s="89">
        <f>'a st. of changes in equity bg'!G80</f>
        <v>-3772</v>
      </c>
      <c r="H77" s="88">
        <f>'a st. of changes in equity bg'!H80</f>
        <v>-3772</v>
      </c>
      <c r="I77" s="88">
        <f>'a st. of changes in equity bg'!I80</f>
        <v>-2265</v>
      </c>
    </row>
    <row r="78" spans="1:9" ht="12.75" hidden="1">
      <c r="A78" s="13" t="s">
        <v>100</v>
      </c>
      <c r="B78" s="88"/>
      <c r="C78" s="88"/>
      <c r="D78" s="88"/>
      <c r="E78" s="89">
        <f>'a st. of changes in equity bg'!E81</f>
        <v>176</v>
      </c>
      <c r="F78" s="89"/>
      <c r="G78" s="89">
        <f>'a st. of changes in equity bg'!G81</f>
        <v>-176</v>
      </c>
      <c r="H78" s="89">
        <f>'a st. of changes in equity bg'!H81</f>
        <v>0</v>
      </c>
      <c r="I78" s="88"/>
    </row>
    <row r="79" spans="1:9" ht="12.75" hidden="1">
      <c r="A79" s="13" t="s">
        <v>208</v>
      </c>
      <c r="B79" s="88">
        <f>'a st. of changes in equity bg'!B82</f>
        <v>0</v>
      </c>
      <c r="C79" s="88" t="e">
        <f>'a st. of changes in equity bg'!#REF!</f>
        <v>#REF!</v>
      </c>
      <c r="D79" s="89">
        <f>'a st. of changes in equity bg'!D82</f>
        <v>628</v>
      </c>
      <c r="F79" s="89">
        <f>'a st. of changes in equity bg'!F82</f>
        <v>-1134</v>
      </c>
      <c r="G79" s="89">
        <f>'a st. of changes in equity bg'!G82</f>
        <v>0</v>
      </c>
      <c r="H79" s="88">
        <f>'a st. of changes in equity bg'!H82</f>
        <v>-506</v>
      </c>
      <c r="I79" s="88">
        <f>'a st. of changes in equity bg'!I82</f>
        <v>0</v>
      </c>
    </row>
    <row r="80" spans="1:9" ht="12.75" hidden="1">
      <c r="A80" s="3" t="s">
        <v>101</v>
      </c>
      <c r="B80" s="88">
        <f>'a st. of changes in equity bg'!B83</f>
        <v>0</v>
      </c>
      <c r="C80" s="88" t="e">
        <f>'a st. of changes in equity bg'!#REF!</f>
        <v>#REF!</v>
      </c>
      <c r="D80" s="88">
        <f>'a st. of changes in equity bg'!C83</f>
        <v>0</v>
      </c>
      <c r="E80" s="88">
        <f>'a st. of changes in equity bg'!D83</f>
        <v>0</v>
      </c>
      <c r="F80" s="89">
        <f>'a st. of changes in equity bg'!F83</f>
        <v>0</v>
      </c>
      <c r="G80" s="89">
        <f>'a st. of changes in equity bg'!G83</f>
        <v>85</v>
      </c>
      <c r="H80" s="88">
        <f>'a st. of changes in equity bg'!H83</f>
        <v>85</v>
      </c>
      <c r="I80" s="88">
        <f>'a st. of changes in equity bg'!I83</f>
        <v>729</v>
      </c>
    </row>
    <row r="81" spans="1:9" ht="13.5" hidden="1" thickBot="1">
      <c r="A81" s="11" t="s">
        <v>235</v>
      </c>
      <c r="B81" s="90" t="e">
        <f>SUM(B75:B80)</f>
        <v>#REF!</v>
      </c>
      <c r="C81" s="90" t="e">
        <f aca="true" t="shared" si="5" ref="C81:I81">SUM(C75:C80)</f>
        <v>#REF!</v>
      </c>
      <c r="D81" s="90">
        <f t="shared" si="5"/>
        <v>74789</v>
      </c>
      <c r="E81" s="90">
        <f t="shared" si="5"/>
        <v>11588</v>
      </c>
      <c r="F81" s="90">
        <f t="shared" si="5"/>
        <v>-2189</v>
      </c>
      <c r="G81" s="90">
        <f t="shared" si="5"/>
        <v>10116</v>
      </c>
      <c r="H81" s="90">
        <f t="shared" si="5"/>
        <v>117729</v>
      </c>
      <c r="I81" s="90">
        <f t="shared" si="5"/>
        <v>72486</v>
      </c>
    </row>
    <row r="82" spans="1:9" ht="13.5" hidden="1" thickTop="1">
      <c r="A82" s="11"/>
      <c r="B82" s="88"/>
      <c r="C82" s="88"/>
      <c r="D82" s="88"/>
      <c r="E82" s="88"/>
      <c r="F82" s="88"/>
      <c r="G82" s="88"/>
      <c r="H82" s="88"/>
      <c r="I82" s="88"/>
    </row>
    <row r="83" spans="1:9" ht="12.75" hidden="1">
      <c r="A83" s="13" t="s">
        <v>68</v>
      </c>
      <c r="B83" s="89">
        <f>'a st. of changes in equity bg'!B86</f>
        <v>0</v>
      </c>
      <c r="C83" s="89">
        <f>'a st. of changes in equity bg'!C86</f>
        <v>0</v>
      </c>
      <c r="D83" s="89">
        <f>'a st. of changes in equity bg'!D86</f>
        <v>0</v>
      </c>
      <c r="E83" s="89"/>
      <c r="F83" s="89">
        <f>'a st. of changes in equity bg'!F86</f>
        <v>0</v>
      </c>
      <c r="G83" s="89">
        <f>'a st. of changes in equity bg'!G86</f>
        <v>-5420</v>
      </c>
      <c r="H83" s="88">
        <f>SUM(B83:G83)</f>
        <v>-5420</v>
      </c>
      <c r="I83" s="89">
        <f>'a st. of changes in equity bg'!I86</f>
        <v>-2751</v>
      </c>
    </row>
    <row r="84" spans="1:9" ht="12.75" hidden="1">
      <c r="A84" s="13" t="s">
        <v>100</v>
      </c>
      <c r="B84" s="89"/>
      <c r="C84" s="89"/>
      <c r="D84" s="89"/>
      <c r="E84" s="89">
        <v>176</v>
      </c>
      <c r="F84" s="89"/>
      <c r="G84" s="89">
        <v>-176</v>
      </c>
      <c r="H84" s="88"/>
      <c r="I84" s="89"/>
    </row>
    <row r="85" spans="1:9" ht="12.75" hidden="1">
      <c r="A85" s="13" t="s">
        <v>208</v>
      </c>
      <c r="B85" s="89">
        <f>'a st. of changes in equity bg'!B88</f>
        <v>0</v>
      </c>
      <c r="C85" s="89">
        <f>'a st. of changes in equity bg'!C88</f>
        <v>0</v>
      </c>
      <c r="D85" s="89">
        <f>'a st. of changes in equity bg'!D88</f>
        <v>10243</v>
      </c>
      <c r="E85" s="89">
        <f>'a st. of changes in equity bg'!E88</f>
        <v>0</v>
      </c>
      <c r="F85" s="89">
        <f>'a st. of changes in equity bg'!F88</f>
        <v>-1026</v>
      </c>
      <c r="G85" s="89">
        <f>'a st. of changes in equity bg'!G88</f>
        <v>0</v>
      </c>
      <c r="H85" s="88">
        <f>SUM(B85:G85)</f>
        <v>9217</v>
      </c>
      <c r="I85" s="89">
        <f>'a st. of changes in equity bg'!I88</f>
        <v>-135</v>
      </c>
    </row>
    <row r="86" spans="1:9" ht="12.75" hidden="1">
      <c r="A86" s="3" t="s">
        <v>101</v>
      </c>
      <c r="B86" s="89">
        <f>'a st. of changes in equity bg'!B89</f>
        <v>0</v>
      </c>
      <c r="C86" s="89">
        <f>'a st. of changes in equity bg'!C89</f>
        <v>0</v>
      </c>
      <c r="D86" s="89">
        <f>'a st. of changes in equity bg'!D89</f>
        <v>0</v>
      </c>
      <c r="E86" s="89">
        <f>'a st. of changes in equity bg'!E89</f>
        <v>0</v>
      </c>
      <c r="F86" s="89">
        <f>'a st. of changes in equity bg'!F89</f>
        <v>0</v>
      </c>
      <c r="G86" s="89">
        <f>'a st. of changes in equity bg'!G89</f>
        <v>-2937</v>
      </c>
      <c r="H86" s="88">
        <f>SUM(B86:G86)</f>
        <v>-2937</v>
      </c>
      <c r="I86" s="89">
        <f>'a st. of changes in equity bg'!I89</f>
        <v>5321</v>
      </c>
    </row>
    <row r="87" spans="1:9" ht="13.5" hidden="1" thickBot="1">
      <c r="A87" s="11" t="s">
        <v>233</v>
      </c>
      <c r="B87" s="90" t="e">
        <f>SUM(B81:B86)</f>
        <v>#REF!</v>
      </c>
      <c r="C87" s="90" t="e">
        <f>SUM(C81:C86)</f>
        <v>#REF!</v>
      </c>
      <c r="D87" s="90">
        <f>D75+D85</f>
        <v>84404</v>
      </c>
      <c r="E87" s="90">
        <f>E75+E84</f>
        <v>11588</v>
      </c>
      <c r="F87" s="90">
        <f>F75+F85</f>
        <v>-2081</v>
      </c>
      <c r="G87" s="90">
        <f>G75+G83+G84+G86</f>
        <v>5446</v>
      </c>
      <c r="H87" s="90">
        <f>H75+H83+H85+H86</f>
        <v>122782</v>
      </c>
      <c r="I87" s="90">
        <f>I75+I83+I85+I86</f>
        <v>76457</v>
      </c>
    </row>
    <row r="88" spans="1:9" ht="13.5" hidden="1" thickTop="1">
      <c r="A88" s="11"/>
      <c r="B88" s="88"/>
      <c r="C88" s="88"/>
      <c r="D88" s="88"/>
      <c r="E88" s="88"/>
      <c r="F88" s="88"/>
      <c r="G88" s="88"/>
      <c r="H88" s="88"/>
      <c r="I88" s="88"/>
    </row>
    <row r="89" spans="1:9" ht="12.75" hidden="1">
      <c r="A89" s="13" t="s">
        <v>68</v>
      </c>
      <c r="B89" s="89"/>
      <c r="C89" s="89"/>
      <c r="D89" s="89"/>
      <c r="E89" s="89"/>
      <c r="F89" s="89"/>
      <c r="G89" s="89">
        <f>'a st. of changes in equity bg'!G92</f>
        <v>0</v>
      </c>
      <c r="H89" s="88">
        <f>SUM(B89:G89)</f>
        <v>0</v>
      </c>
      <c r="I89" s="89">
        <f>'a st. of changes in equity bg'!I92</f>
        <v>0</v>
      </c>
    </row>
    <row r="90" spans="1:9" ht="12.75" hidden="1">
      <c r="A90" s="13" t="s">
        <v>208</v>
      </c>
      <c r="B90" s="89"/>
      <c r="C90" s="89"/>
      <c r="D90" s="89">
        <f>'a st. of changes in equity bg'!D93</f>
        <v>0</v>
      </c>
      <c r="E90" s="89">
        <f>'a st. of changes in equity bg'!E93</f>
        <v>0</v>
      </c>
      <c r="F90" s="89">
        <f>'a st. of changes in equity bg'!F93</f>
        <v>0</v>
      </c>
      <c r="G90" s="89">
        <f>'a st. of changes in equity bg'!G93</f>
        <v>0</v>
      </c>
      <c r="H90" s="88">
        <f>SUM(B90:G90)</f>
        <v>0</v>
      </c>
      <c r="I90" s="89">
        <f>'a st. of changes in equity bg'!I93</f>
        <v>0</v>
      </c>
    </row>
    <row r="91" spans="1:9" ht="12.75" hidden="1">
      <c r="A91" s="3" t="s">
        <v>101</v>
      </c>
      <c r="B91" s="89"/>
      <c r="C91" s="89"/>
      <c r="D91" s="89">
        <f>'a st. of changes in equity bg'!D94</f>
        <v>0</v>
      </c>
      <c r="E91" s="89">
        <f>'a st. of changes in equity bg'!E94</f>
        <v>0</v>
      </c>
      <c r="F91" s="89">
        <f>'a st. of changes in equity bg'!F94</f>
        <v>0</v>
      </c>
      <c r="G91" s="89">
        <f>'a st. of changes in equity bg'!G94</f>
        <v>0</v>
      </c>
      <c r="H91" s="88">
        <f>SUM(B91:G91)</f>
        <v>0</v>
      </c>
      <c r="I91" s="89">
        <f>'a st. of changes in equity bg'!I94</f>
        <v>0</v>
      </c>
    </row>
    <row r="92" spans="1:9" ht="13.5" hidden="1" thickBot="1">
      <c r="A92" s="11" t="s">
        <v>240</v>
      </c>
      <c r="B92" s="90" t="e">
        <f>SUM(B87:B91)</f>
        <v>#REF!</v>
      </c>
      <c r="C92" s="90" t="e">
        <f aca="true" t="shared" si="6" ref="C92:I92">SUM(C87:C91)</f>
        <v>#REF!</v>
      </c>
      <c r="D92" s="90">
        <f t="shared" si="6"/>
        <v>84404</v>
      </c>
      <c r="E92" s="90">
        <f t="shared" si="6"/>
        <v>11588</v>
      </c>
      <c r="F92" s="90">
        <f t="shared" si="6"/>
        <v>-2081</v>
      </c>
      <c r="G92" s="90">
        <f t="shared" si="6"/>
        <v>5446</v>
      </c>
      <c r="H92" s="90">
        <f t="shared" si="6"/>
        <v>122782</v>
      </c>
      <c r="I92" s="90">
        <f t="shared" si="6"/>
        <v>76457</v>
      </c>
    </row>
    <row r="93" spans="1:9" ht="13.5" hidden="1" thickTop="1">
      <c r="A93" s="11"/>
      <c r="B93" s="88"/>
      <c r="C93" s="88"/>
      <c r="D93" s="88"/>
      <c r="E93" s="88"/>
      <c r="F93" s="88"/>
      <c r="G93" s="88"/>
      <c r="H93" s="88"/>
      <c r="I93" s="88"/>
    </row>
    <row r="94" spans="1:9" ht="12.75" hidden="1">
      <c r="A94" s="13" t="s">
        <v>68</v>
      </c>
      <c r="B94" s="88">
        <f>'a st. of changes in equity bg'!B97</f>
        <v>0</v>
      </c>
      <c r="C94" s="89" t="e">
        <f>'a st. of changes in equity bg'!#REF!</f>
        <v>#REF!</v>
      </c>
      <c r="D94" s="89">
        <f>'a st. of changes in equity bg'!C97</f>
        <v>0</v>
      </c>
      <c r="E94" s="89">
        <f>'a st. of changes in equity bg'!D97</f>
        <v>0</v>
      </c>
      <c r="F94" s="89">
        <f>'a st. of changes in equity bg'!E97</f>
        <v>0</v>
      </c>
      <c r="G94" s="89">
        <f>'a st. of changes in equity bg'!G97</f>
        <v>-11329</v>
      </c>
      <c r="H94" s="88" t="e">
        <f>SUM(B94:G94)</f>
        <v>#REF!</v>
      </c>
      <c r="I94" s="89">
        <f>'a st. of changes in equity bg'!I97</f>
        <v>-4942</v>
      </c>
    </row>
    <row r="95" spans="1:9" ht="12.75" hidden="1">
      <c r="A95" s="13" t="s">
        <v>100</v>
      </c>
      <c r="B95" s="88">
        <f>'a st. of changes in equity bg'!B98</f>
        <v>0</v>
      </c>
      <c r="C95" s="89" t="e">
        <f>'a st. of changes in equity bg'!#REF!</f>
        <v>#REF!</v>
      </c>
      <c r="D95" s="89">
        <f>'a st. of changes in equity bg'!D98</f>
        <v>0</v>
      </c>
      <c r="E95" s="89">
        <f>'a st. of changes in equity bg'!E98</f>
        <v>0</v>
      </c>
      <c r="F95" s="89">
        <f>'a st. of changes in equity bg'!F98</f>
        <v>0</v>
      </c>
      <c r="G95" s="89">
        <f>'a st. of changes in equity bg'!G98</f>
        <v>0</v>
      </c>
      <c r="H95" s="88" t="e">
        <f>SUM(B95:G95)</f>
        <v>#REF!</v>
      </c>
      <c r="I95" s="89">
        <f>'a st. of changes in equity bg'!I98</f>
        <v>0</v>
      </c>
    </row>
    <row r="96" spans="1:9" ht="12.75" hidden="1">
      <c r="A96" s="13" t="s">
        <v>208</v>
      </c>
      <c r="B96" s="88">
        <f>'a st. of changes in equity bg'!B99</f>
        <v>0</v>
      </c>
      <c r="C96" s="89" t="e">
        <f>'a st. of changes in equity bg'!#REF!</f>
        <v>#REF!</v>
      </c>
      <c r="D96" s="89">
        <f>'a st. of changes in equity bg'!D99</f>
        <v>-189</v>
      </c>
      <c r="E96" s="89">
        <f>'a st. of changes in equity bg'!E99</f>
        <v>398</v>
      </c>
      <c r="F96" s="89">
        <f>'a st. of changes in equity bg'!F99</f>
        <v>164</v>
      </c>
      <c r="G96" s="89">
        <f>'a st. of changes in equity bg'!G99</f>
        <v>-398</v>
      </c>
      <c r="H96" s="88" t="e">
        <f>SUM(B96:G96)</f>
        <v>#REF!</v>
      </c>
      <c r="I96" s="89">
        <f>'a st. of changes in equity bg'!I99</f>
        <v>-334</v>
      </c>
    </row>
    <row r="97" spans="1:9" ht="12.75" hidden="1">
      <c r="A97" s="3" t="s">
        <v>101</v>
      </c>
      <c r="B97" s="88">
        <f>'a st. of changes in equity bg'!B100</f>
        <v>0</v>
      </c>
      <c r="C97" s="89" t="e">
        <f>'a st. of changes in equity bg'!#REF!</f>
        <v>#REF!</v>
      </c>
      <c r="D97" s="89">
        <f>'a st. of changes in equity bg'!D100</f>
        <v>-1825</v>
      </c>
      <c r="E97" s="89">
        <f>'a st. of changes in equity bg'!E100</f>
        <v>4</v>
      </c>
      <c r="F97" s="89">
        <f>'a st. of changes in equity bg'!F100</f>
        <v>0</v>
      </c>
      <c r="G97" s="89">
        <f>'a st. of changes in equity bg'!G100</f>
        <v>1687</v>
      </c>
      <c r="H97" s="88" t="e">
        <f>SUM(B97:G97)</f>
        <v>#REF!</v>
      </c>
      <c r="I97" s="89">
        <f>'a st. of changes in equity bg'!I100</f>
        <v>-545</v>
      </c>
    </row>
    <row r="98" spans="1:9" ht="13.5" hidden="1" thickBot="1">
      <c r="A98" s="11" t="s">
        <v>237</v>
      </c>
      <c r="B98" s="90" t="e">
        <f>SUM(B92:B97)</f>
        <v>#REF!</v>
      </c>
      <c r="C98" s="90" t="e">
        <f aca="true" t="shared" si="7" ref="C98:I98">SUM(C92:C97)</f>
        <v>#REF!</v>
      </c>
      <c r="D98" s="90">
        <f>SUM(D92:D97)</f>
        <v>82390</v>
      </c>
      <c r="E98" s="90">
        <f t="shared" si="7"/>
        <v>11990</v>
      </c>
      <c r="F98" s="90">
        <f t="shared" si="7"/>
        <v>-1917</v>
      </c>
      <c r="G98" s="90">
        <f t="shared" si="7"/>
        <v>-4594</v>
      </c>
      <c r="H98" s="90" t="e">
        <f t="shared" si="7"/>
        <v>#REF!</v>
      </c>
      <c r="I98" s="90">
        <f t="shared" si="7"/>
        <v>70636</v>
      </c>
    </row>
    <row r="99" spans="1:9" ht="13.5" hidden="1" thickTop="1">
      <c r="A99" s="11"/>
      <c r="B99" s="88"/>
      <c r="C99" s="88"/>
      <c r="D99" s="88"/>
      <c r="E99" s="88"/>
      <c r="F99" s="88"/>
      <c r="G99" s="88"/>
      <c r="H99" s="88"/>
      <c r="I99" s="88"/>
    </row>
    <row r="100" spans="1:9" ht="12.75" hidden="1">
      <c r="A100" s="3" t="s">
        <v>16</v>
      </c>
      <c r="B100" s="89">
        <f>'a st. of changes in equity bg'!B103</f>
        <v>4730</v>
      </c>
      <c r="C100" s="89">
        <f>'a st. of changes in equity bg'!C103</f>
        <v>2270</v>
      </c>
      <c r="D100" s="88"/>
      <c r="E100" s="88"/>
      <c r="F100" s="88"/>
      <c r="G100" s="88"/>
      <c r="H100" s="88">
        <f aca="true" t="shared" si="8" ref="H100:H105">SUM(B100:G100)</f>
        <v>7000</v>
      </c>
      <c r="I100" s="88"/>
    </row>
    <row r="101" spans="1:9" ht="12.75" hidden="1">
      <c r="A101" s="13" t="s">
        <v>68</v>
      </c>
      <c r="B101" s="88">
        <f>'a st. of changes in equity bg'!B104</f>
        <v>0</v>
      </c>
      <c r="C101" s="88" t="e">
        <f>'a st. of changes in equity bg'!#REF!</f>
        <v>#REF!</v>
      </c>
      <c r="D101" s="88">
        <f>'a st. of changes in equity bg'!D104</f>
        <v>0</v>
      </c>
      <c r="E101" s="88">
        <f>'a st. of changes in equity bg'!E104</f>
        <v>0</v>
      </c>
      <c r="F101" s="88">
        <f>'a st. of changes in equity bg'!F104</f>
        <v>0</v>
      </c>
      <c r="G101" s="89">
        <f>'a st. of changes in equity bg'!G104</f>
        <v>-10072</v>
      </c>
      <c r="H101" s="88" t="e">
        <f t="shared" si="8"/>
        <v>#REF!</v>
      </c>
      <c r="I101" s="89">
        <f>'a st. of changes in equity bg'!I104</f>
        <v>-6483</v>
      </c>
    </row>
    <row r="102" spans="1:9" ht="12.75" hidden="1">
      <c r="A102" s="13" t="s">
        <v>100</v>
      </c>
      <c r="B102" s="88"/>
      <c r="C102" s="88"/>
      <c r="D102" s="88"/>
      <c r="E102" s="89">
        <f>'a st. of changes in equity bg'!E105</f>
        <v>834</v>
      </c>
      <c r="F102" s="88"/>
      <c r="G102" s="89">
        <f>'a st. of changes in equity bg'!G105</f>
        <v>-834</v>
      </c>
      <c r="H102" s="88">
        <f t="shared" si="8"/>
        <v>0</v>
      </c>
      <c r="I102" s="89"/>
    </row>
    <row r="103" spans="1:9" ht="12.75" hidden="1">
      <c r="A103" s="13" t="s">
        <v>208</v>
      </c>
      <c r="B103" s="88"/>
      <c r="C103" s="89" t="e">
        <f>'a st. of changes in equity bg'!#REF!</f>
        <v>#REF!</v>
      </c>
      <c r="D103" s="89">
        <f>'a st. of changes in equity bg'!D106</f>
        <v>-7839</v>
      </c>
      <c r="E103" s="89">
        <f>'a st. of changes in equity bg'!E106</f>
        <v>0</v>
      </c>
      <c r="F103" s="89">
        <f>'a st. of changes in equity bg'!F106</f>
        <v>-472</v>
      </c>
      <c r="G103" s="89">
        <f>'a st. of changes in equity bg'!G106</f>
        <v>0</v>
      </c>
      <c r="H103" s="88" t="e">
        <f t="shared" si="8"/>
        <v>#REF!</v>
      </c>
      <c r="I103" s="89">
        <f>'a st. of changes in equity bg'!I106</f>
        <v>-6726</v>
      </c>
    </row>
    <row r="104" spans="1:9" ht="12.75" hidden="1">
      <c r="A104" s="3" t="s">
        <v>101</v>
      </c>
      <c r="B104" s="88"/>
      <c r="C104" s="89" t="e">
        <f>'a st. of changes in equity bg'!#REF!</f>
        <v>#REF!</v>
      </c>
      <c r="D104" s="89">
        <f>'a st. of changes in equity bg'!D107</f>
        <v>-20765</v>
      </c>
      <c r="E104" s="89">
        <f>'a st. of changes in equity bg'!E107</f>
        <v>3</v>
      </c>
      <c r="F104" s="89">
        <f>'a st. of changes in equity bg'!F107</f>
        <v>668</v>
      </c>
      <c r="G104" s="89">
        <f>'a st. of changes in equity bg'!G107</f>
        <v>10844</v>
      </c>
      <c r="H104" s="88" t="e">
        <f t="shared" si="8"/>
        <v>#REF!</v>
      </c>
      <c r="I104" s="89">
        <f>'a st. of changes in equity bg'!I107</f>
        <v>-8036</v>
      </c>
    </row>
    <row r="105" spans="1:9" ht="13.5" hidden="1" thickBot="1">
      <c r="A105" s="11" t="s">
        <v>245</v>
      </c>
      <c r="B105" s="91">
        <v>18736</v>
      </c>
      <c r="C105" s="91">
        <v>11689</v>
      </c>
      <c r="D105" s="90">
        <f>SUM(D98:D104)</f>
        <v>53786</v>
      </c>
      <c r="E105" s="90">
        <f>SUM(E98:E104)</f>
        <v>12827</v>
      </c>
      <c r="F105" s="90">
        <f>SUM(F98:F104)</f>
        <v>-1721</v>
      </c>
      <c r="G105" s="90">
        <f>SUM(G98:G104)</f>
        <v>-4656</v>
      </c>
      <c r="H105" s="90">
        <f t="shared" si="8"/>
        <v>90661</v>
      </c>
      <c r="I105" s="90">
        <f>SUM(I98:I104)</f>
        <v>49391</v>
      </c>
    </row>
    <row r="106" spans="1:9" ht="13.5" hidden="1" thickTop="1">
      <c r="A106" s="11"/>
      <c r="B106" s="88"/>
      <c r="C106" s="88"/>
      <c r="D106" s="88"/>
      <c r="E106" s="88"/>
      <c r="F106" s="88"/>
      <c r="G106" s="88"/>
      <c r="H106" s="88"/>
      <c r="I106" s="88"/>
    </row>
    <row r="107" spans="1:9" ht="12.75" hidden="1">
      <c r="A107" s="13" t="s">
        <v>68</v>
      </c>
      <c r="B107" s="88">
        <f>'a st. of changes in equity bg'!B110</f>
        <v>0</v>
      </c>
      <c r="C107" s="88">
        <f>'a st. of changes in equity bg'!C110</f>
        <v>0</v>
      </c>
      <c r="D107" s="88">
        <f>'a st. of changes in equity bg'!D110</f>
        <v>0</v>
      </c>
      <c r="E107" s="88">
        <f>'a st. of changes in equity bg'!E110</f>
        <v>0</v>
      </c>
      <c r="F107" s="88">
        <f>'a st. of changes in equity bg'!F110</f>
        <v>0</v>
      </c>
      <c r="G107" s="88">
        <f>'a st. of changes in equity bg'!G110</f>
        <v>0</v>
      </c>
      <c r="H107" s="88">
        <f>'a st. of changes in equity bg'!H110</f>
        <v>0</v>
      </c>
      <c r="I107" s="88">
        <f>'a st. of changes in equity bg'!I110</f>
        <v>0</v>
      </c>
    </row>
    <row r="108" spans="1:9" ht="12.75" hidden="1">
      <c r="A108" s="13" t="s">
        <v>208</v>
      </c>
      <c r="B108" s="88">
        <f>'a st. of changes in equity bg'!B111</f>
        <v>0</v>
      </c>
      <c r="C108" s="88">
        <f>'a st. of changes in equity bg'!C111</f>
        <v>0</v>
      </c>
      <c r="D108" s="88"/>
      <c r="E108" s="88">
        <f>'a st. of changes in equity bg'!E111</f>
        <v>0</v>
      </c>
      <c r="F108" s="88">
        <f>'a st. of changes in equity bg'!F111</f>
        <v>0</v>
      </c>
      <c r="G108" s="88">
        <f>'a st. of changes in equity bg'!G111</f>
        <v>0</v>
      </c>
      <c r="H108" s="88"/>
      <c r="I108" s="88"/>
    </row>
    <row r="109" spans="1:9" ht="19.5" customHeight="1" hidden="1">
      <c r="A109" s="3" t="s">
        <v>101</v>
      </c>
      <c r="B109" s="88">
        <f>'a st. of changes in equity bg'!B112</f>
        <v>0</v>
      </c>
      <c r="C109" s="88">
        <f>'a st. of changes in equity bg'!C112</f>
        <v>0</v>
      </c>
      <c r="D109" s="88">
        <f>'a st. of changes in equity bg'!D113</f>
        <v>0</v>
      </c>
      <c r="E109" s="88">
        <f>'a st. of changes in equity bg'!E112</f>
        <v>0</v>
      </c>
      <c r="F109" s="88">
        <f>'a st. of changes in equity bg'!F112</f>
        <v>0</v>
      </c>
      <c r="G109" s="88">
        <f>'a st. of changes in equity bg'!G113</f>
        <v>0</v>
      </c>
      <c r="H109" s="88">
        <f>'a st. of changes in equity bg'!H113</f>
        <v>0</v>
      </c>
      <c r="I109" s="88">
        <f>'a st. of changes in equity bg'!I113</f>
        <v>0</v>
      </c>
    </row>
    <row r="110" spans="1:9" ht="19.5" customHeight="1" hidden="1" thickBot="1">
      <c r="A110" s="11" t="s">
        <v>252</v>
      </c>
      <c r="B110" s="90">
        <f>SUM(B105:B109)</f>
        <v>18736</v>
      </c>
      <c r="C110" s="90">
        <f aca="true" t="shared" si="9" ref="C110:I110">SUM(C105:C109)</f>
        <v>11689</v>
      </c>
      <c r="D110" s="90">
        <f t="shared" si="9"/>
        <v>53786</v>
      </c>
      <c r="E110" s="90">
        <f t="shared" si="9"/>
        <v>12827</v>
      </c>
      <c r="F110" s="90">
        <f t="shared" si="9"/>
        <v>-1721</v>
      </c>
      <c r="G110" s="90">
        <f t="shared" si="9"/>
        <v>-4656</v>
      </c>
      <c r="H110" s="90">
        <f t="shared" si="9"/>
        <v>90661</v>
      </c>
      <c r="I110" s="90">
        <f t="shared" si="9"/>
        <v>49391</v>
      </c>
    </row>
    <row r="111" spans="2:9" ht="19.5" customHeight="1" hidden="1" thickTop="1">
      <c r="B111" s="88"/>
      <c r="C111" s="88"/>
      <c r="D111" s="88"/>
      <c r="E111" s="88"/>
      <c r="F111" s="88"/>
      <c r="G111" s="88"/>
      <c r="H111" s="88"/>
      <c r="I111" s="88"/>
    </row>
    <row r="112" spans="2:9" ht="19.5" customHeight="1" hidden="1">
      <c r="B112" s="88"/>
      <c r="C112" s="88"/>
      <c r="D112" s="88"/>
      <c r="E112" s="88"/>
      <c r="F112" s="88"/>
      <c r="G112" s="88"/>
      <c r="H112" s="88"/>
      <c r="I112" s="88"/>
    </row>
    <row r="113" spans="1:9" ht="12.75" hidden="1">
      <c r="A113" s="13" t="s">
        <v>68</v>
      </c>
      <c r="B113" s="89">
        <f>'a st. of changes in equity bg'!B116</f>
        <v>0</v>
      </c>
      <c r="C113" s="89">
        <f>'a st. of changes in equity bg'!C116</f>
        <v>0</v>
      </c>
      <c r="D113" s="89">
        <f>'a st. of changes in equity bg'!D116</f>
        <v>0</v>
      </c>
      <c r="E113" s="89">
        <f>'a st. of changes in equity bg'!E116</f>
        <v>0</v>
      </c>
      <c r="F113" s="89">
        <f>'a st. of changes in equity bg'!F116</f>
        <v>0</v>
      </c>
      <c r="G113" s="89">
        <f>'a st. of changes in equity bg'!G116</f>
        <v>-4269</v>
      </c>
      <c r="H113" s="89">
        <f>'a st. of changes in equity bg'!H116</f>
        <v>-4269</v>
      </c>
      <c r="I113" s="89">
        <f>'a st. of changes in equity bg'!I116</f>
        <v>-2363</v>
      </c>
    </row>
    <row r="114" spans="1:9" ht="12.75" hidden="1">
      <c r="A114" s="13" t="s">
        <v>208</v>
      </c>
      <c r="B114" s="89"/>
      <c r="C114" s="89"/>
      <c r="D114" s="89">
        <f>'a st. of changes in equity bg'!D117+'a st. of changes in equity bg'!D118</f>
        <v>-6734</v>
      </c>
      <c r="E114" s="89">
        <f>'a st. of changes in equity bg'!E117</f>
        <v>0</v>
      </c>
      <c r="F114" s="89">
        <f>'a st. of changes in equity bg'!F117</f>
        <v>9</v>
      </c>
      <c r="G114" s="89">
        <f>'a st. of changes in equity bg'!G117</f>
        <v>0</v>
      </c>
      <c r="H114" s="89">
        <f>SUM(B114:G114)</f>
        <v>-6725</v>
      </c>
      <c r="I114" s="89">
        <f>'a st. of changes in equity bg'!I117+'a st. of changes in equity bg'!I118</f>
        <v>-1015</v>
      </c>
    </row>
    <row r="115" spans="1:9" ht="12.75" hidden="1">
      <c r="A115" s="3" t="s">
        <v>101</v>
      </c>
      <c r="B115" s="89"/>
      <c r="C115" s="89"/>
      <c r="D115" s="89">
        <f>'a st. of changes in equity bg'!D119</f>
        <v>-1283</v>
      </c>
      <c r="E115" s="89">
        <f>'a st. of changes in equity bg'!E119</f>
        <v>0</v>
      </c>
      <c r="F115" s="89">
        <f>'a st. of changes in equity bg'!F119</f>
        <v>622</v>
      </c>
      <c r="G115" s="89">
        <f>'a st. of changes in equity bg'!G119</f>
        <v>-5757</v>
      </c>
      <c r="H115" s="89">
        <f>'a st. of changes in equity bg'!H119</f>
        <v>-6418</v>
      </c>
      <c r="I115" s="89">
        <f>'a st. of changes in equity bg'!I119</f>
        <v>-3389</v>
      </c>
    </row>
    <row r="116" spans="1:9" ht="13.5" hidden="1" thickBot="1">
      <c r="A116" s="11" t="s">
        <v>250</v>
      </c>
      <c r="B116" s="90">
        <f>SUM(B110:B115)</f>
        <v>18736</v>
      </c>
      <c r="C116" s="90">
        <f aca="true" t="shared" si="10" ref="C116:I116">SUM(C110:C115)</f>
        <v>11689</v>
      </c>
      <c r="D116" s="90">
        <f t="shared" si="10"/>
        <v>45769</v>
      </c>
      <c r="E116" s="90">
        <f t="shared" si="10"/>
        <v>12827</v>
      </c>
      <c r="F116" s="90">
        <f t="shared" si="10"/>
        <v>-1090</v>
      </c>
      <c r="G116" s="90">
        <f t="shared" si="10"/>
        <v>-14682</v>
      </c>
      <c r="H116" s="90">
        <f t="shared" si="10"/>
        <v>73249</v>
      </c>
      <c r="I116" s="90">
        <f t="shared" si="10"/>
        <v>42624</v>
      </c>
    </row>
    <row r="117" spans="1:9" ht="13.5" hidden="1" thickTop="1">
      <c r="A117" s="11"/>
      <c r="B117" s="88"/>
      <c r="C117" s="88"/>
      <c r="D117" s="88"/>
      <c r="E117" s="88"/>
      <c r="F117" s="88"/>
      <c r="G117" s="88"/>
      <c r="H117" s="88"/>
      <c r="I117" s="88"/>
    </row>
    <row r="118" spans="1:9" ht="12.75" hidden="1">
      <c r="A118" s="13" t="s">
        <v>68</v>
      </c>
      <c r="B118" s="88">
        <f>'a st. of changes in equity bg'!B122</f>
        <v>0</v>
      </c>
      <c r="C118" s="88">
        <f>'a st. of changes in equity bg'!C122</f>
        <v>0</v>
      </c>
      <c r="D118" s="88">
        <f>'a st. of changes in equity bg'!D122</f>
        <v>0</v>
      </c>
      <c r="E118" s="88">
        <f>'a st. of changes in equity bg'!E122</f>
        <v>0</v>
      </c>
      <c r="F118" s="89">
        <f>'a st. of changes in equity bg'!F122</f>
        <v>0</v>
      </c>
      <c r="G118" s="89">
        <f>'a st. of changes in equity bg'!G122</f>
        <v>0</v>
      </c>
      <c r="H118" s="88">
        <f>'a st. of changes in equity bg'!H122</f>
        <v>0</v>
      </c>
      <c r="I118" s="89">
        <f>'a st. of changes in equity bg'!I122</f>
        <v>0</v>
      </c>
    </row>
    <row r="119" spans="1:9" ht="12.75" hidden="1">
      <c r="A119" s="13" t="s">
        <v>208</v>
      </c>
      <c r="B119" s="88">
        <f>'a st. of changes in equity bg'!B123</f>
        <v>0</v>
      </c>
      <c r="C119" s="88">
        <f>'a st. of changes in equity bg'!C123</f>
        <v>0</v>
      </c>
      <c r="D119" s="88">
        <f>'a st. of changes in equity bg'!D123</f>
        <v>0</v>
      </c>
      <c r="E119" s="88">
        <f>'a st. of changes in equity bg'!E123</f>
        <v>0</v>
      </c>
      <c r="F119" s="89">
        <f>'a st. of changes in equity bg'!F123</f>
        <v>0</v>
      </c>
      <c r="G119" s="89">
        <f>'a st. of changes in equity bg'!G123</f>
        <v>0</v>
      </c>
      <c r="H119" s="88">
        <f>'a st. of changes in equity bg'!H123</f>
        <v>0</v>
      </c>
      <c r="I119" s="89">
        <f>'a st. of changes in equity bg'!I123</f>
        <v>0</v>
      </c>
    </row>
    <row r="120" spans="1:9" ht="12.75" hidden="1">
      <c r="A120" s="3" t="s">
        <v>101</v>
      </c>
      <c r="B120" s="88">
        <f>'a st. of changes in equity bg'!B124</f>
        <v>0</v>
      </c>
      <c r="C120" s="88">
        <f>'a st. of changes in equity bg'!C124</f>
        <v>0</v>
      </c>
      <c r="D120" s="88">
        <f>'a st. of changes in equity bg'!D124</f>
        <v>0</v>
      </c>
      <c r="E120" s="88">
        <f>'a st. of changes in equity bg'!E124</f>
        <v>0</v>
      </c>
      <c r="F120" s="89">
        <f>'a st. of changes in equity bg'!F124</f>
        <v>0</v>
      </c>
      <c r="G120" s="89">
        <f>'a st. of changes in equity bg'!G124</f>
        <v>0</v>
      </c>
      <c r="H120" s="88">
        <f>'a st. of changes in equity bg'!H124</f>
        <v>0</v>
      </c>
      <c r="I120" s="89">
        <f>'a st. of changes in equity bg'!I124</f>
        <v>0</v>
      </c>
    </row>
    <row r="121" spans="1:9" ht="13.5" hidden="1" thickBot="1">
      <c r="A121" s="11" t="s">
        <v>259</v>
      </c>
      <c r="B121" s="90">
        <f>'a st. of changes in equity bg'!B125</f>
        <v>18736</v>
      </c>
      <c r="C121" s="90">
        <f>'a st. of changes in equity bg'!C125</f>
        <v>11689</v>
      </c>
      <c r="D121" s="90">
        <f>'a st. of changes in equity bg'!D125</f>
        <v>45769</v>
      </c>
      <c r="E121" s="90">
        <f>'a st. of changes in equity bg'!E125</f>
        <v>12827</v>
      </c>
      <c r="F121" s="90">
        <f>'a st. of changes in equity bg'!F125</f>
        <v>-1090</v>
      </c>
      <c r="G121" s="90">
        <f>'a st. of changes in equity bg'!G125</f>
        <v>-14682</v>
      </c>
      <c r="H121" s="90">
        <f>'a st. of changes in equity bg'!H125</f>
        <v>73249</v>
      </c>
      <c r="I121" s="90">
        <f>'a st. of changes in equity bg'!I125</f>
        <v>42624</v>
      </c>
    </row>
    <row r="122" spans="1:9" ht="13.5" hidden="1" thickTop="1">
      <c r="A122" s="11"/>
      <c r="B122" s="88"/>
      <c r="C122" s="88"/>
      <c r="D122" s="88"/>
      <c r="E122" s="88"/>
      <c r="F122" s="88"/>
      <c r="G122" s="88"/>
      <c r="H122" s="88"/>
      <c r="I122" s="88"/>
    </row>
    <row r="123" spans="1:9" ht="12.75" hidden="1">
      <c r="A123" s="13" t="s">
        <v>68</v>
      </c>
      <c r="B123" s="89">
        <f>'a st. of changes in equity bg'!B127</f>
        <v>0</v>
      </c>
      <c r="C123" s="89">
        <f>'a st. of changes in equity bg'!C127</f>
        <v>0</v>
      </c>
      <c r="D123" s="89">
        <f>'a st. of changes in equity bg'!D127</f>
        <v>0</v>
      </c>
      <c r="E123" s="89">
        <f>'a st. of changes in equity bg'!E127</f>
        <v>75</v>
      </c>
      <c r="F123" s="89">
        <f>'a st. of changes in equity bg'!F127</f>
        <v>0</v>
      </c>
      <c r="G123" s="89">
        <f>'a st. of changes in equity bg'!G127</f>
        <v>720</v>
      </c>
      <c r="H123" s="88">
        <f>'a st. of changes in equity bg'!H127</f>
        <v>795</v>
      </c>
      <c r="I123" s="89">
        <f>'a st. of changes in equity bg'!I127</f>
        <v>-492</v>
      </c>
    </row>
    <row r="124" spans="1:9" ht="12.75" hidden="1">
      <c r="A124" s="13" t="s">
        <v>208</v>
      </c>
      <c r="B124" s="89"/>
      <c r="C124" s="89">
        <f>'a st. of changes in equity bg'!C128</f>
        <v>0</v>
      </c>
      <c r="D124" s="89">
        <f>'a st. of changes in equity bg'!D128</f>
        <v>-649</v>
      </c>
      <c r="E124" s="89">
        <f>'a st. of changes in equity bg'!E128</f>
        <v>0</v>
      </c>
      <c r="F124" s="89">
        <f>'a st. of changes in equity bg'!F128</f>
        <v>0</v>
      </c>
      <c r="G124" s="89">
        <f>'a st. of changes in equity bg'!G128</f>
        <v>0</v>
      </c>
      <c r="H124" s="88">
        <f>'a st. of changes in equity bg'!H128</f>
        <v>-649</v>
      </c>
      <c r="I124" s="89">
        <f>'a st. of changes in equity bg'!I128</f>
        <v>-237</v>
      </c>
    </row>
    <row r="125" spans="1:9" ht="12.75" hidden="1">
      <c r="A125" s="13" t="s">
        <v>257</v>
      </c>
      <c r="B125" s="89"/>
      <c r="C125" s="89">
        <f>'a st. of changes in equity bg'!C129</f>
        <v>0</v>
      </c>
      <c r="D125" s="89">
        <f>'a st. of changes in equity bg'!D129</f>
        <v>66</v>
      </c>
      <c r="E125" s="89">
        <f>'a st. of changes in equity bg'!E129</f>
        <v>0</v>
      </c>
      <c r="F125" s="89">
        <f>'a st. of changes in equity bg'!F129</f>
        <v>0</v>
      </c>
      <c r="G125" s="89">
        <f>'a st. of changes in equity bg'!G129</f>
        <v>0</v>
      </c>
      <c r="H125" s="88">
        <f>'a st. of changes in equity bg'!H129</f>
        <v>66</v>
      </c>
      <c r="I125" s="89">
        <f>'a st. of changes in equity bg'!I129</f>
        <v>24</v>
      </c>
    </row>
    <row r="126" spans="1:9" ht="12.75" hidden="1">
      <c r="A126" s="3" t="s">
        <v>101</v>
      </c>
      <c r="B126" s="89"/>
      <c r="C126" s="89">
        <f>'a st. of changes in equity bg'!C130</f>
        <v>0</v>
      </c>
      <c r="D126" s="89">
        <f>'a st. of changes in equity bg'!D130</f>
        <v>-6016</v>
      </c>
      <c r="E126" s="89">
        <f>'a st. of changes in equity bg'!E130</f>
        <v>0</v>
      </c>
      <c r="F126" s="89">
        <f>'a st. of changes in equity bg'!F130</f>
        <v>1090</v>
      </c>
      <c r="G126" s="89">
        <f>'a st. of changes in equity bg'!G130</f>
        <v>12015</v>
      </c>
      <c r="H126" s="88">
        <f>'a st. of changes in equity bg'!H130</f>
        <v>7089</v>
      </c>
      <c r="I126" s="89">
        <f>'a st. of changes in equity bg'!I130</f>
        <v>-10920</v>
      </c>
    </row>
    <row r="127" spans="1:9" ht="13.5" hidden="1" thickBot="1">
      <c r="A127" s="11" t="s">
        <v>255</v>
      </c>
      <c r="B127" s="90">
        <f>SUM(B121:B126)</f>
        <v>18736</v>
      </c>
      <c r="C127" s="90">
        <f aca="true" t="shared" si="11" ref="C127:I127">SUM(C121:C126)</f>
        <v>11689</v>
      </c>
      <c r="D127" s="90">
        <f t="shared" si="11"/>
        <v>39170</v>
      </c>
      <c r="E127" s="90">
        <f t="shared" si="11"/>
        <v>12902</v>
      </c>
      <c r="F127" s="90">
        <f t="shared" si="11"/>
        <v>0</v>
      </c>
      <c r="G127" s="90">
        <f t="shared" si="11"/>
        <v>-1947</v>
      </c>
      <c r="H127" s="90">
        <f t="shared" si="11"/>
        <v>80550</v>
      </c>
      <c r="I127" s="90">
        <f t="shared" si="11"/>
        <v>30999</v>
      </c>
    </row>
    <row r="128" spans="1:9" ht="13.5" hidden="1" thickTop="1">
      <c r="A128" s="11"/>
      <c r="B128" s="88"/>
      <c r="C128" s="88"/>
      <c r="D128" s="88"/>
      <c r="E128" s="88"/>
      <c r="F128" s="88"/>
      <c r="G128" s="88"/>
      <c r="H128" s="88"/>
      <c r="I128" s="88"/>
    </row>
    <row r="129" spans="1:9" ht="12.75" hidden="1">
      <c r="A129" s="13" t="s">
        <v>68</v>
      </c>
      <c r="B129" s="89">
        <f>'a st. of changes in equity bg'!B133</f>
        <v>0</v>
      </c>
      <c r="C129" s="89">
        <f>'a st. of changes in equity bg'!C133</f>
        <v>0</v>
      </c>
      <c r="D129" s="89">
        <f>'a st. of changes in equity bg'!D133</f>
        <v>0</v>
      </c>
      <c r="E129" s="89">
        <f>'a st. of changes in equity bg'!E133</f>
        <v>0</v>
      </c>
      <c r="F129" s="89">
        <f>'a st. of changes in equity bg'!F133</f>
        <v>0</v>
      </c>
      <c r="G129" s="89">
        <f>'a st. of changes in equity bg'!G133</f>
        <v>0</v>
      </c>
      <c r="H129" s="88">
        <f>'a st. of changes in equity bg'!H133</f>
        <v>0</v>
      </c>
      <c r="I129" s="89">
        <f>'a st. of changes in equity bg'!I133</f>
        <v>0</v>
      </c>
    </row>
    <row r="130" spans="1:9" ht="12.75" hidden="1">
      <c r="A130" s="13" t="s">
        <v>208</v>
      </c>
      <c r="B130" s="89">
        <f>'a st. of changes in equity bg'!B134</f>
        <v>0</v>
      </c>
      <c r="C130" s="89">
        <f>'a st. of changes in equity bg'!C134</f>
        <v>0</v>
      </c>
      <c r="D130" s="89">
        <f>'a st. of changes in equity bg'!D134</f>
        <v>0</v>
      </c>
      <c r="E130" s="89">
        <f>'a st. of changes in equity bg'!E134</f>
        <v>0</v>
      </c>
      <c r="F130" s="89">
        <f>'a st. of changes in equity bg'!F134</f>
        <v>0</v>
      </c>
      <c r="G130" s="89">
        <f>'a st. of changes in equity bg'!G134</f>
        <v>0</v>
      </c>
      <c r="H130" s="88">
        <f>'a st. of changes in equity bg'!H134</f>
        <v>0</v>
      </c>
      <c r="I130" s="89">
        <f>'a st. of changes in equity bg'!I134</f>
        <v>0</v>
      </c>
    </row>
    <row r="131" spans="1:9" ht="12.75" hidden="1">
      <c r="A131" s="13" t="s">
        <v>257</v>
      </c>
      <c r="B131" s="89"/>
      <c r="C131" s="89"/>
      <c r="D131" s="89">
        <f>'a st. of changes in equity bg'!D135</f>
        <v>0</v>
      </c>
      <c r="E131" s="89"/>
      <c r="F131" s="89"/>
      <c r="G131" s="89"/>
      <c r="H131" s="88">
        <f>'a st. of changes in equity bg'!H135</f>
        <v>0</v>
      </c>
      <c r="I131" s="89"/>
    </row>
    <row r="132" spans="1:9" ht="12.75" hidden="1">
      <c r="A132" s="3" t="s">
        <v>101</v>
      </c>
      <c r="B132" s="89">
        <f>'a st. of changes in equity bg'!B136</f>
        <v>0</v>
      </c>
      <c r="C132" s="89">
        <f>'a st. of changes in equity bg'!C136</f>
        <v>0</v>
      </c>
      <c r="D132" s="89">
        <f>'a st. of changes in equity bg'!D136</f>
        <v>0</v>
      </c>
      <c r="E132" s="89">
        <f>'a st. of changes in equity bg'!E136</f>
        <v>0</v>
      </c>
      <c r="F132" s="89">
        <f>'a st. of changes in equity bg'!F136</f>
        <v>0</v>
      </c>
      <c r="G132" s="89">
        <f>'a st. of changes in equity bg'!G136</f>
        <v>0</v>
      </c>
      <c r="H132" s="88">
        <f>'a st. of changes in equity bg'!H136</f>
        <v>0</v>
      </c>
      <c r="I132" s="89">
        <f>'a st. of changes in equity bg'!I136</f>
        <v>0</v>
      </c>
    </row>
    <row r="133" spans="1:9" ht="13.5" hidden="1" thickBot="1">
      <c r="A133" s="11" t="s">
        <v>267</v>
      </c>
      <c r="B133" s="90">
        <f>SUM(B127:B132)</f>
        <v>18736</v>
      </c>
      <c r="C133" s="90">
        <f aca="true" t="shared" si="12" ref="C133:I133">SUM(C127:C132)</f>
        <v>11689</v>
      </c>
      <c r="D133" s="90">
        <f t="shared" si="12"/>
        <v>39170</v>
      </c>
      <c r="E133" s="90">
        <f t="shared" si="12"/>
        <v>12902</v>
      </c>
      <c r="F133" s="90">
        <f t="shared" si="12"/>
        <v>0</v>
      </c>
      <c r="G133" s="90">
        <f t="shared" si="12"/>
        <v>-1947</v>
      </c>
      <c r="H133" s="90">
        <f t="shared" si="12"/>
        <v>80550</v>
      </c>
      <c r="I133" s="90">
        <f t="shared" si="12"/>
        <v>30999</v>
      </c>
    </row>
    <row r="134" ht="13.5" hidden="1" thickTop="1"/>
    <row r="135" spans="1:9" ht="12.75" hidden="1">
      <c r="A135" s="13" t="s">
        <v>68</v>
      </c>
      <c r="B135" s="32">
        <f>'a st. of changes in equity bg'!B139</f>
        <v>0</v>
      </c>
      <c r="C135" s="32">
        <f>'a st. of changes in equity bg'!C139</f>
        <v>0</v>
      </c>
      <c r="D135" s="32">
        <f>'a st. of changes in equity bg'!D139</f>
        <v>0</v>
      </c>
      <c r="E135" s="32">
        <f>'a st. of changes in equity bg'!E139</f>
        <v>0</v>
      </c>
      <c r="F135" s="32">
        <f>'a st. of changes in equity bg'!F139</f>
        <v>0</v>
      </c>
      <c r="G135" s="32">
        <f>'a st. of changes in equity bg'!G139</f>
        <v>-157</v>
      </c>
      <c r="H135" s="34">
        <f>'a st. of changes in equity bg'!H139</f>
        <v>-157</v>
      </c>
      <c r="I135" s="32">
        <f>'a st. of changes in equity bg'!I139</f>
        <v>2574</v>
      </c>
    </row>
    <row r="136" spans="1:9" ht="12.75" hidden="1">
      <c r="A136" s="13" t="s">
        <v>208</v>
      </c>
      <c r="B136" s="32"/>
      <c r="D136" s="32">
        <f>'a st. of changes in equity bg'!D140</f>
        <v>-3351</v>
      </c>
      <c r="E136" s="32">
        <f>'a st. of changes in equity bg'!E140</f>
        <v>0</v>
      </c>
      <c r="F136" s="32">
        <f>'a st. of changes in equity bg'!F140</f>
        <v>0</v>
      </c>
      <c r="G136" s="32">
        <f>'a st. of changes in equity bg'!G140</f>
        <v>0</v>
      </c>
      <c r="H136" s="34">
        <f>'a st. of changes in equity bg'!H140</f>
        <v>-3351</v>
      </c>
      <c r="I136" s="32">
        <f>'a st. of changes in equity bg'!I140</f>
        <v>-1186</v>
      </c>
    </row>
    <row r="137" spans="1:9" ht="12.75" hidden="1">
      <c r="A137" s="13" t="s">
        <v>257</v>
      </c>
      <c r="B137" s="32"/>
      <c r="D137" s="32">
        <f>'a st. of changes in equity bg'!D141</f>
        <v>349</v>
      </c>
      <c r="E137" s="32">
        <f>'a st. of changes in equity bg'!E141</f>
        <v>0</v>
      </c>
      <c r="F137" s="32">
        <f>'a st. of changes in equity bg'!F141</f>
        <v>0</v>
      </c>
      <c r="G137" s="32">
        <f>'a st. of changes in equity bg'!G141</f>
        <v>0</v>
      </c>
      <c r="H137" s="34">
        <f>'a st. of changes in equity bg'!H141</f>
        <v>349</v>
      </c>
      <c r="I137" s="32">
        <f>'a st. of changes in equity bg'!I141</f>
        <v>119</v>
      </c>
    </row>
    <row r="138" spans="1:9" ht="12.75" hidden="1">
      <c r="A138" s="3" t="s">
        <v>101</v>
      </c>
      <c r="B138" s="32"/>
      <c r="D138" s="32">
        <f>'a st. of changes in equity bg'!D143</f>
        <v>-2328</v>
      </c>
      <c r="E138" s="32">
        <f>'a st. of changes in equity bg'!E143</f>
        <v>1</v>
      </c>
      <c r="F138" s="32">
        <f>'a st. of changes in equity bg'!F143</f>
        <v>0</v>
      </c>
      <c r="G138" s="32">
        <f>'a st. of changes in equity bg'!G143</f>
        <v>-4968</v>
      </c>
      <c r="H138" s="34">
        <f>'a st. of changes in equity bg'!H143</f>
        <v>-7295</v>
      </c>
      <c r="I138" s="32">
        <f>'a st. of changes in equity bg'!I143</f>
        <v>-6936</v>
      </c>
    </row>
    <row r="139" spans="1:9" ht="13.5" hidden="1" thickBot="1">
      <c r="A139" s="11" t="s">
        <v>260</v>
      </c>
      <c r="B139" s="90">
        <f>SUM(B133:B138)</f>
        <v>18736</v>
      </c>
      <c r="C139" s="90">
        <f aca="true" t="shared" si="13" ref="C139:I139">SUM(C133:C138)</f>
        <v>11689</v>
      </c>
      <c r="D139" s="90">
        <f t="shared" si="13"/>
        <v>33840</v>
      </c>
      <c r="E139" s="90">
        <f t="shared" si="13"/>
        <v>12903</v>
      </c>
      <c r="F139" s="90">
        <f t="shared" si="13"/>
        <v>0</v>
      </c>
      <c r="G139" s="90">
        <f t="shared" si="13"/>
        <v>-7072</v>
      </c>
      <c r="H139" s="90">
        <f t="shared" si="13"/>
        <v>70096</v>
      </c>
      <c r="I139" s="90">
        <f t="shared" si="13"/>
        <v>25570</v>
      </c>
    </row>
    <row r="140" spans="1:9" ht="13.5" hidden="1" thickTop="1">
      <c r="A140" s="11"/>
      <c r="B140" s="88"/>
      <c r="C140" s="88"/>
      <c r="D140" s="88"/>
      <c r="E140" s="88"/>
      <c r="F140" s="88"/>
      <c r="G140" s="88"/>
      <c r="H140" s="88"/>
      <c r="I140" s="88"/>
    </row>
    <row r="141" spans="1:9" ht="12.75" hidden="1">
      <c r="A141" s="13" t="s">
        <v>68</v>
      </c>
      <c r="B141" s="89">
        <f>'a st. of changes in equity bg'!B146</f>
        <v>0</v>
      </c>
      <c r="C141" s="89">
        <f>'a st. of changes in equity bg'!C146</f>
        <v>0</v>
      </c>
      <c r="D141" s="89">
        <f>'a st. of changes in equity bg'!D146</f>
        <v>0</v>
      </c>
      <c r="E141" s="89">
        <f>'a st. of changes in equity bg'!E146</f>
        <v>0</v>
      </c>
      <c r="F141" s="89">
        <f>'a st. of changes in equity bg'!F146</f>
        <v>0</v>
      </c>
      <c r="G141" s="89">
        <f>'a st. of changes in equity bg'!G146</f>
        <v>0</v>
      </c>
      <c r="H141" s="88">
        <f>'a st. of changes in equity bg'!H146</f>
        <v>0</v>
      </c>
      <c r="I141" s="89">
        <f>'a st. of changes in equity bg'!I146</f>
        <v>0</v>
      </c>
    </row>
    <row r="142" spans="1:9" ht="12.75" hidden="1">
      <c r="A142" s="3" t="s">
        <v>101</v>
      </c>
      <c r="B142" s="89">
        <f>'a st. of changes in equity bg'!B147</f>
        <v>0</v>
      </c>
      <c r="C142" s="89">
        <f>'a st. of changes in equity bg'!C147</f>
        <v>0</v>
      </c>
      <c r="D142" s="89">
        <f>'a st. of changes in equity bg'!D147</f>
        <v>0</v>
      </c>
      <c r="E142" s="89">
        <f>'a st. of changes in equity bg'!E147</f>
        <v>0</v>
      </c>
      <c r="F142" s="89">
        <f>'a st. of changes in equity bg'!F147</f>
        <v>0</v>
      </c>
      <c r="G142" s="89">
        <f>'a st. of changes in equity bg'!G147</f>
        <v>0</v>
      </c>
      <c r="H142" s="88">
        <f>'a st. of changes in equity bg'!H147</f>
        <v>0</v>
      </c>
      <c r="I142" s="89">
        <f>'a st. of changes in equity bg'!I147</f>
        <v>0</v>
      </c>
    </row>
    <row r="143" spans="1:9" ht="13.5" hidden="1" thickBot="1">
      <c r="A143" s="11" t="s">
        <v>275</v>
      </c>
      <c r="B143" s="90">
        <f>SUM(B139:B142)</f>
        <v>18736</v>
      </c>
      <c r="C143" s="90">
        <f aca="true" t="shared" si="14" ref="C143:I143">SUM(C139:C142)</f>
        <v>11689</v>
      </c>
      <c r="D143" s="90">
        <f t="shared" si="14"/>
        <v>33840</v>
      </c>
      <c r="E143" s="90">
        <f t="shared" si="14"/>
        <v>12903</v>
      </c>
      <c r="F143" s="90">
        <f t="shared" si="14"/>
        <v>0</v>
      </c>
      <c r="G143" s="90">
        <f t="shared" si="14"/>
        <v>-7072</v>
      </c>
      <c r="H143" s="90">
        <f t="shared" si="14"/>
        <v>70096</v>
      </c>
      <c r="I143" s="90">
        <f t="shared" si="14"/>
        <v>25570</v>
      </c>
    </row>
    <row r="144" ht="13.5" hidden="1" thickTop="1">
      <c r="A144" s="11"/>
    </row>
    <row r="145" spans="1:9" ht="12.75" hidden="1">
      <c r="A145" s="13" t="s">
        <v>68</v>
      </c>
      <c r="B145" s="32">
        <f>'a st. of changes in equity bg'!B150</f>
        <v>0</v>
      </c>
      <c r="C145" s="32">
        <f>'a st. of changes in equity bg'!C150</f>
        <v>-5527</v>
      </c>
      <c r="D145" s="32">
        <f>'a st. of changes in equity bg'!D150</f>
        <v>0</v>
      </c>
      <c r="E145" s="32">
        <f>'a st. of changes in equity bg'!E150</f>
        <v>0</v>
      </c>
      <c r="F145" s="32">
        <f>'a st. of changes in equity bg'!F150</f>
        <v>0</v>
      </c>
      <c r="G145" s="32">
        <f>'a st. of changes in equity bg'!G150</f>
        <v>6387</v>
      </c>
      <c r="H145" s="34">
        <f>'a st. of changes in equity bg'!H150</f>
        <v>860</v>
      </c>
      <c r="I145" s="32">
        <f>'a st. of changes in equity bg'!I150</f>
        <v>2714</v>
      </c>
    </row>
    <row r="146" spans="1:9" ht="12.75" hidden="1">
      <c r="A146" s="13" t="s">
        <v>304</v>
      </c>
      <c r="B146" s="32"/>
      <c r="C146" s="32">
        <f>'a st. of changes in equity bg'!C151</f>
        <v>0</v>
      </c>
      <c r="D146" s="32">
        <f>'a st. of changes in equity bg'!D151</f>
        <v>1304</v>
      </c>
      <c r="E146" s="32">
        <f>'a st. of changes in equity bg'!E151</f>
        <v>0</v>
      </c>
      <c r="F146" s="32">
        <f>'a st. of changes in equity bg'!F151</f>
        <v>0</v>
      </c>
      <c r="G146" s="32">
        <f>'a st. of changes in equity bg'!G151</f>
        <v>0</v>
      </c>
      <c r="H146" s="34">
        <f>'a st. of changes in equity bg'!H151</f>
        <v>1304</v>
      </c>
      <c r="I146" s="32">
        <f>'a st. of changes in equity bg'!I151</f>
        <v>-75</v>
      </c>
    </row>
    <row r="147" spans="1:9" ht="12.75" hidden="1">
      <c r="A147" s="13" t="s">
        <v>257</v>
      </c>
      <c r="B147" s="32"/>
      <c r="C147" s="32">
        <f>'a st. of changes in equity bg'!C152</f>
        <v>0</v>
      </c>
      <c r="D147" s="32">
        <f>'a st. of changes in equity bg'!D152</f>
        <v>-82</v>
      </c>
      <c r="E147" s="32">
        <f>'a st. of changes in equity bg'!E152</f>
        <v>0</v>
      </c>
      <c r="F147" s="32">
        <f>'a st. of changes in equity bg'!F152</f>
        <v>0</v>
      </c>
      <c r="G147" s="32">
        <f>'a st. of changes in equity bg'!G152</f>
        <v>0</v>
      </c>
      <c r="H147" s="34">
        <f>'a st. of changes in equity bg'!H152</f>
        <v>-82</v>
      </c>
      <c r="I147" s="32">
        <f>'a st. of changes in equity bg'!I152</f>
        <v>-6</v>
      </c>
    </row>
    <row r="148" spans="1:9" ht="12.75" hidden="1">
      <c r="A148" s="3" t="s">
        <v>101</v>
      </c>
      <c r="B148" s="32"/>
      <c r="C148" s="32">
        <f>'a st. of changes in equity bg'!C153</f>
        <v>-94</v>
      </c>
      <c r="D148" s="32">
        <f>'a st. of changes in equity bg'!D153</f>
        <v>-109</v>
      </c>
      <c r="E148" s="32">
        <f>'a st. of changes in equity bg'!E153</f>
        <v>107</v>
      </c>
      <c r="F148" s="32">
        <f>'a st. of changes in equity bg'!F153</f>
        <v>0</v>
      </c>
      <c r="G148" s="32">
        <f>'a st. of changes in equity bg'!G153</f>
        <v>915</v>
      </c>
      <c r="H148" s="34">
        <f>'a st. of changes in equity bg'!H153</f>
        <v>819</v>
      </c>
      <c r="I148" s="32">
        <f>'a st. of changes in equity bg'!I153</f>
        <v>-285</v>
      </c>
    </row>
    <row r="149" spans="1:10" ht="13.5" thickBot="1">
      <c r="A149" s="11" t="s">
        <v>268</v>
      </c>
      <c r="B149" s="86">
        <f>SUM(B143:B148)</f>
        <v>18736</v>
      </c>
      <c r="C149" s="86">
        <f aca="true" t="shared" si="15" ref="C149:I149">SUM(C143:C148)</f>
        <v>6068</v>
      </c>
      <c r="D149" s="86">
        <f t="shared" si="15"/>
        <v>34953</v>
      </c>
      <c r="E149" s="86">
        <f t="shared" si="15"/>
        <v>13010</v>
      </c>
      <c r="F149" s="86">
        <f t="shared" si="15"/>
        <v>0</v>
      </c>
      <c r="G149" s="86">
        <f t="shared" si="15"/>
        <v>230</v>
      </c>
      <c r="H149" s="86">
        <f t="shared" si="15"/>
        <v>72997</v>
      </c>
      <c r="I149" s="86">
        <f t="shared" si="15"/>
        <v>27918</v>
      </c>
      <c r="J149" s="32"/>
    </row>
    <row r="150" ht="13.5" hidden="1" thickTop="1">
      <c r="A150" s="11"/>
    </row>
    <row r="151" spans="1:9" ht="25.5" hidden="1">
      <c r="A151" s="102" t="s">
        <v>305</v>
      </c>
      <c r="B151" s="32"/>
      <c r="C151" s="32"/>
      <c r="D151" s="32"/>
      <c r="E151" s="32"/>
      <c r="F151" s="32"/>
      <c r="G151" s="32"/>
      <c r="H151" s="32"/>
      <c r="I151" s="32"/>
    </row>
    <row r="152" spans="1:9" ht="12.75" hidden="1">
      <c r="A152" s="96" t="s">
        <v>306</v>
      </c>
      <c r="B152" s="32"/>
      <c r="C152" s="32"/>
      <c r="D152" s="32"/>
      <c r="E152" s="32"/>
      <c r="F152" s="32"/>
      <c r="G152" s="32"/>
      <c r="H152" s="32"/>
      <c r="I152" s="32"/>
    </row>
    <row r="153" spans="1:9" ht="12.75" hidden="1">
      <c r="A153" s="96" t="s">
        <v>307</v>
      </c>
      <c r="B153" s="32"/>
      <c r="C153" s="32"/>
      <c r="D153" s="32"/>
      <c r="E153" s="32"/>
      <c r="F153" s="32"/>
      <c r="G153" s="32"/>
      <c r="H153" s="32"/>
      <c r="I153" s="32"/>
    </row>
    <row r="154" spans="1:9" ht="12.75" hidden="1">
      <c r="A154" s="13" t="s">
        <v>68</v>
      </c>
      <c r="B154" s="34"/>
      <c r="C154" s="34"/>
      <c r="D154" s="99"/>
      <c r="E154" s="99"/>
      <c r="F154" s="99"/>
      <c r="G154" s="99"/>
      <c r="H154" s="101"/>
      <c r="I154" s="99"/>
    </row>
    <row r="155" spans="1:9" ht="12.75" hidden="1">
      <c r="A155" s="13" t="s">
        <v>208</v>
      </c>
      <c r="B155" s="34"/>
      <c r="C155" s="34"/>
      <c r="D155" s="99"/>
      <c r="E155" s="99"/>
      <c r="F155" s="99"/>
      <c r="G155" s="99"/>
      <c r="H155" s="101"/>
      <c r="I155" s="99"/>
    </row>
    <row r="156" spans="1:9" ht="12.75" hidden="1">
      <c r="A156" s="3" t="s">
        <v>101</v>
      </c>
      <c r="B156" s="34"/>
      <c r="C156" s="34"/>
      <c r="D156" s="99"/>
      <c r="E156" s="99"/>
      <c r="F156" s="99"/>
      <c r="G156" s="99"/>
      <c r="H156" s="101"/>
      <c r="I156" s="99"/>
    </row>
    <row r="157" spans="1:10" ht="13.5" hidden="1" thickBot="1">
      <c r="A157" s="11" t="s">
        <v>327</v>
      </c>
      <c r="B157" s="86"/>
      <c r="C157" s="86"/>
      <c r="D157" s="86"/>
      <c r="E157" s="86"/>
      <c r="F157" s="86"/>
      <c r="G157" s="86"/>
      <c r="H157" s="100"/>
      <c r="I157" s="86"/>
      <c r="J157" s="32"/>
    </row>
    <row r="158" spans="1:8" ht="13.5" thickTop="1">
      <c r="A158" s="11"/>
      <c r="H158" s="98"/>
    </row>
    <row r="159" spans="1:9" ht="25.5">
      <c r="A159" s="102" t="s">
        <v>305</v>
      </c>
      <c r="B159" s="32"/>
      <c r="C159" s="32"/>
      <c r="D159" s="32">
        <f>'a st. of changes in equity bg'!D158</f>
        <v>-383</v>
      </c>
      <c r="E159" s="32">
        <f>'a st. of changes in equity bg'!E158</f>
        <v>383</v>
      </c>
      <c r="F159" s="32"/>
      <c r="G159" s="32"/>
      <c r="H159" s="101">
        <f>SUM(B159:G159)</f>
        <v>0</v>
      </c>
      <c r="I159" s="32"/>
    </row>
    <row r="160" spans="1:9" ht="12.75">
      <c r="A160" s="96" t="s">
        <v>306</v>
      </c>
      <c r="B160" s="32"/>
      <c r="C160" s="32"/>
      <c r="D160" s="32">
        <f>'a st. of changes in equity bg'!D161</f>
        <v>0</v>
      </c>
      <c r="E160" s="32">
        <f>'a st. of changes in equity bg'!E161</f>
        <v>0</v>
      </c>
      <c r="F160" s="32" t="e">
        <f>'a st. of changes in equity bg'!#REF!</f>
        <v>#REF!</v>
      </c>
      <c r="G160" s="32">
        <f>'a st. of changes in equity bg'!G161</f>
        <v>-5</v>
      </c>
      <c r="H160" s="101">
        <f>SUM(G160)</f>
        <v>-5</v>
      </c>
      <c r="I160" s="32">
        <f>'a st. of changes in equity bg'!I161</f>
        <v>0</v>
      </c>
    </row>
    <row r="161" spans="1:9" ht="12.75">
      <c r="A161" s="96" t="s">
        <v>307</v>
      </c>
      <c r="B161" s="32"/>
      <c r="C161" s="32"/>
      <c r="D161" s="32">
        <f>'a st. of changes in equity bg'!D163</f>
        <v>-4708</v>
      </c>
      <c r="E161" s="32">
        <f>'a st. of changes in equity bg'!E163</f>
        <v>0</v>
      </c>
      <c r="F161" s="32" t="e">
        <f>'a st. of changes in equity bg'!#REF!</f>
        <v>#REF!</v>
      </c>
      <c r="G161" s="32">
        <f>'a st. of changes in equity bg'!G163</f>
        <v>-1809</v>
      </c>
      <c r="H161" s="101">
        <f>+B161+C161+D161+E161+G161</f>
        <v>-6517</v>
      </c>
      <c r="I161" s="99">
        <f>'a st. of changes in equity bg'!I163</f>
        <v>6517</v>
      </c>
    </row>
    <row r="162" spans="1:9" ht="12.75">
      <c r="A162" s="13" t="s">
        <v>68</v>
      </c>
      <c r="B162" s="34">
        <f>'a st. of changes in equity bg'!B164</f>
        <v>0</v>
      </c>
      <c r="C162" s="34">
        <f>'a st. of changes in equity bg'!C164</f>
        <v>0</v>
      </c>
      <c r="D162" s="99">
        <f>'a st. of changes in equity bg'!D164</f>
        <v>0</v>
      </c>
      <c r="E162" s="99">
        <f>'a st. of changes in equity bg'!E164</f>
        <v>0</v>
      </c>
      <c r="F162" s="99" t="e">
        <f>'a st. of changes in equity bg'!#REF!</f>
        <v>#REF!</v>
      </c>
      <c r="G162" s="99">
        <f>'a st. of changes in equity bg'!H164</f>
        <v>-1463</v>
      </c>
      <c r="H162" s="101">
        <f>SUM(G162)</f>
        <v>-1463</v>
      </c>
      <c r="I162" s="99">
        <f>'a st. of changes in equity bg'!I164</f>
        <v>1104</v>
      </c>
    </row>
    <row r="163" spans="1:9" ht="12.75">
      <c r="A163" s="13" t="s">
        <v>208</v>
      </c>
      <c r="B163" s="34">
        <f>'a st. of changes in equity bg'!B165</f>
        <v>0</v>
      </c>
      <c r="C163" s="34">
        <f>'a st. of changes in equity bg'!C165</f>
        <v>0</v>
      </c>
      <c r="D163" s="99">
        <f>'a st. of changes in equity bg'!D165</f>
        <v>-348</v>
      </c>
      <c r="E163" s="99">
        <f>'a st. of changes in equity bg'!E165</f>
        <v>0</v>
      </c>
      <c r="F163" s="99" t="e">
        <f>'a st. of changes in equity bg'!#REF!</f>
        <v>#REF!</v>
      </c>
      <c r="G163" s="99">
        <f>'a st. of changes in equity bg'!G165</f>
        <v>0</v>
      </c>
      <c r="H163" s="101">
        <f>+D163</f>
        <v>-348</v>
      </c>
      <c r="I163" s="99">
        <f>'a st. of changes in equity bg'!I165</f>
        <v>-234</v>
      </c>
    </row>
    <row r="164" spans="1:9" ht="12.75">
      <c r="A164" s="3" t="s">
        <v>101</v>
      </c>
      <c r="B164" s="34">
        <f>'a st. of changes in equity bg'!B166</f>
        <v>0</v>
      </c>
      <c r="C164" s="34">
        <f>'a st. of changes in equity bg'!C166</f>
        <v>0</v>
      </c>
      <c r="D164" s="99">
        <f>'a st. of changes in equity bg'!D166</f>
        <v>-4798</v>
      </c>
      <c r="E164" s="99">
        <f>'a st. of changes in equity bg'!E166</f>
        <v>0</v>
      </c>
      <c r="F164" s="99" t="e">
        <f>'a st. of changes in equity bg'!#REF!</f>
        <v>#REF!</v>
      </c>
      <c r="G164" s="99">
        <f>'a st. of changes in equity bg'!G166</f>
        <v>6238</v>
      </c>
      <c r="H164" s="101">
        <f>+B164+C164+D164+E164+G164</f>
        <v>1440</v>
      </c>
      <c r="I164" s="99">
        <f>'a st. of changes in equity bg'!I166</f>
        <v>-445</v>
      </c>
    </row>
    <row r="165" spans="1:10" ht="13.5" thickBot="1">
      <c r="A165" s="11" t="s">
        <v>278</v>
      </c>
      <c r="B165" s="86">
        <f>SUM(B149:B164)</f>
        <v>18736</v>
      </c>
      <c r="C165" s="86">
        <f aca="true" t="shared" si="16" ref="C165:I165">SUM(C149:C164)</f>
        <v>6068</v>
      </c>
      <c r="D165" s="86">
        <f t="shared" si="16"/>
        <v>24716</v>
      </c>
      <c r="E165" s="86">
        <f t="shared" si="16"/>
        <v>13393</v>
      </c>
      <c r="F165" s="86" t="e">
        <f t="shared" si="16"/>
        <v>#REF!</v>
      </c>
      <c r="G165" s="86">
        <f t="shared" si="16"/>
        <v>3191</v>
      </c>
      <c r="H165" s="86">
        <f t="shared" si="16"/>
        <v>66104</v>
      </c>
      <c r="I165" s="86">
        <f t="shared" si="16"/>
        <v>34860</v>
      </c>
      <c r="J165" s="32"/>
    </row>
    <row r="166" spans="1:8" ht="13.5" thickTop="1">
      <c r="A166" s="11"/>
      <c r="B166" s="32"/>
      <c r="C166" s="32"/>
      <c r="D166" s="32"/>
      <c r="E166" s="32"/>
      <c r="F166" s="32"/>
      <c r="G166" s="32"/>
      <c r="H166" s="98"/>
    </row>
    <row r="167" spans="1:9" ht="25.5" hidden="1">
      <c r="A167" s="102" t="s">
        <v>305</v>
      </c>
      <c r="B167" s="32">
        <f>'a st. of changes in equity bg'!B170</f>
        <v>0</v>
      </c>
      <c r="C167" s="32">
        <f>'a st. of changes in equity bg'!C170</f>
        <v>0</v>
      </c>
      <c r="D167" s="32">
        <f>'a st. of changes in equity bg'!D170</f>
        <v>0</v>
      </c>
      <c r="E167" s="32">
        <f>'a st. of changes in equity bg'!E170</f>
        <v>0</v>
      </c>
      <c r="F167" s="32"/>
      <c r="G167" s="32">
        <f>'a st. of changes in equity bg'!G170</f>
        <v>0</v>
      </c>
      <c r="H167" s="101">
        <f aca="true" t="shared" si="17" ref="H167:H174">SUM(B167:G167)</f>
        <v>0</v>
      </c>
      <c r="I167" s="32">
        <f>'a st. of changes in equity bg'!I170</f>
        <v>0</v>
      </c>
    </row>
    <row r="168" spans="1:9" ht="12.75" hidden="1">
      <c r="A168" s="96" t="s">
        <v>306</v>
      </c>
      <c r="B168" s="32">
        <f>'a st. of changes in equity bg'!B173</f>
        <v>0</v>
      </c>
      <c r="C168" s="32">
        <f>'a st. of changes in equity bg'!C173</f>
        <v>0</v>
      </c>
      <c r="D168" s="32">
        <f>'a st. of changes in equity bg'!D173</f>
        <v>0</v>
      </c>
      <c r="E168" s="32">
        <f>'a st. of changes in equity bg'!E173</f>
        <v>0</v>
      </c>
      <c r="F168" s="32"/>
      <c r="G168" s="32">
        <f>'a st. of changes in equity bg'!G173</f>
        <v>0</v>
      </c>
      <c r="H168" s="101">
        <f t="shared" si="17"/>
        <v>0</v>
      </c>
      <c r="I168" s="32">
        <f>'a st. of changes in equity bg'!I173</f>
        <v>0</v>
      </c>
    </row>
    <row r="169" spans="1:9" ht="12.75" hidden="1">
      <c r="A169" s="96" t="s">
        <v>307</v>
      </c>
      <c r="B169" s="32">
        <f>'a st. of changes in equity bg'!B175</f>
        <v>0</v>
      </c>
      <c r="C169" s="32">
        <f>'a st. of changes in equity bg'!C175</f>
        <v>0</v>
      </c>
      <c r="D169" s="32">
        <f>'a st. of changes in equity bg'!D175</f>
        <v>0</v>
      </c>
      <c r="E169" s="32">
        <f>'a st. of changes in equity bg'!E175</f>
        <v>0</v>
      </c>
      <c r="F169" s="32"/>
      <c r="G169" s="32">
        <f>'a st. of changes in equity bg'!G175</f>
        <v>0</v>
      </c>
      <c r="H169" s="101">
        <f t="shared" si="17"/>
        <v>0</v>
      </c>
      <c r="I169" s="32">
        <f>'a st. of changes in equity bg'!I175</f>
        <v>0</v>
      </c>
    </row>
    <row r="170" spans="1:9" ht="12.75">
      <c r="A170" s="13" t="s">
        <v>68</v>
      </c>
      <c r="B170" s="34">
        <f>'a st. of changes in equity bg'!B179</f>
        <v>0</v>
      </c>
      <c r="C170" s="34">
        <f>'a st. of changes in equity bg'!C179</f>
        <v>0</v>
      </c>
      <c r="D170" s="34">
        <f>'a st. of changes in equity bg'!D179</f>
        <v>0</v>
      </c>
      <c r="E170" s="34">
        <f>'a st. of changes in equity bg'!E179</f>
        <v>0</v>
      </c>
      <c r="F170" s="34"/>
      <c r="G170" s="34">
        <f>'a st. of changes in equity bg'!G179</f>
        <v>1917</v>
      </c>
      <c r="H170" s="101">
        <f t="shared" si="17"/>
        <v>1917</v>
      </c>
      <c r="I170" s="99">
        <f>'a st. of changes in equity bg'!I179</f>
        <v>2171</v>
      </c>
    </row>
    <row r="171" spans="1:9" ht="12.75" hidden="1">
      <c r="A171" s="13" t="s">
        <v>208</v>
      </c>
      <c r="B171" s="34">
        <f>'a st. of changes in equity bg'!B180</f>
        <v>0</v>
      </c>
      <c r="C171" s="34">
        <f>'a st. of changes in equity bg'!C180</f>
        <v>0</v>
      </c>
      <c r="D171" s="34">
        <f>'a st. of changes in equity bg'!D180</f>
        <v>-70</v>
      </c>
      <c r="E171" s="34">
        <f>'a st. of changes in equity bg'!E180</f>
        <v>0</v>
      </c>
      <c r="F171" s="34"/>
      <c r="G171" s="34">
        <f>'a st. of changes in equity bg'!G180</f>
        <v>16</v>
      </c>
      <c r="H171" s="101">
        <f t="shared" si="17"/>
        <v>-54</v>
      </c>
      <c r="I171" s="99">
        <f>'a st. of changes in equity bg'!I180</f>
        <v>-40</v>
      </c>
    </row>
    <row r="172" spans="1:9" ht="12.75">
      <c r="A172" s="96" t="s">
        <v>330</v>
      </c>
      <c r="B172" s="34">
        <f>'a st. of changes in equity bg'!B181</f>
        <v>0</v>
      </c>
      <c r="C172" s="34">
        <f>'a st. of changes in equity bg'!C181</f>
        <v>-3226</v>
      </c>
      <c r="D172" s="34">
        <f>'a st. of changes in equity bg'!D181</f>
        <v>0</v>
      </c>
      <c r="E172" s="34">
        <f>'a st. of changes in equity bg'!E181</f>
        <v>0</v>
      </c>
      <c r="F172" s="34">
        <f>'a st. of changes in equity bg'!F181</f>
        <v>0</v>
      </c>
      <c r="G172" s="34">
        <f>'a st. of changes in equity bg'!G181</f>
        <v>3226</v>
      </c>
      <c r="H172" s="101">
        <f t="shared" si="17"/>
        <v>0</v>
      </c>
      <c r="I172" s="101"/>
    </row>
    <row r="173" spans="1:9" ht="12.75">
      <c r="A173" s="13" t="s">
        <v>208</v>
      </c>
      <c r="B173" s="34"/>
      <c r="C173" s="34"/>
      <c r="D173" s="34">
        <f>'a st. of changes in equity bg'!D182</f>
        <v>0</v>
      </c>
      <c r="E173" s="34"/>
      <c r="F173" s="34"/>
      <c r="G173" s="34">
        <f>'a st. of changes in equity bg'!G182</f>
        <v>642</v>
      </c>
      <c r="H173" s="101">
        <f t="shared" si="17"/>
        <v>642</v>
      </c>
      <c r="I173" s="101">
        <f>'a st. of changes in equity bg'!I182</f>
        <v>-13568</v>
      </c>
    </row>
    <row r="174" spans="1:9" ht="12.75">
      <c r="A174" s="3" t="s">
        <v>101</v>
      </c>
      <c r="B174" s="34">
        <f>'a st. of changes in equity bg'!B183</f>
        <v>0</v>
      </c>
      <c r="C174" s="34">
        <f>'a st. of changes in equity bg'!C183</f>
        <v>0</v>
      </c>
      <c r="D174" s="34">
        <f>'a st. of changes in equity bg'!D183</f>
        <v>569</v>
      </c>
      <c r="E174" s="34">
        <f>'a st. of changes in equity bg'!E183</f>
        <v>0</v>
      </c>
      <c r="F174" s="34"/>
      <c r="G174" s="34">
        <f>'a st. of changes in equity bg'!G183</f>
        <v>-689</v>
      </c>
      <c r="H174" s="101">
        <f t="shared" si="17"/>
        <v>-120</v>
      </c>
      <c r="I174" s="99">
        <f>'a st. of changes in equity bg'!I183</f>
        <v>-11</v>
      </c>
    </row>
    <row r="175" spans="1:10" ht="13.5" thickBot="1">
      <c r="A175" s="11" t="s">
        <v>338</v>
      </c>
      <c r="B175" s="86">
        <f aca="true" t="shared" si="18" ref="B175:I175">SUM(B165:B174)</f>
        <v>18736</v>
      </c>
      <c r="C175" s="86">
        <f t="shared" si="18"/>
        <v>2842</v>
      </c>
      <c r="D175" s="86">
        <f t="shared" si="18"/>
        <v>25215</v>
      </c>
      <c r="E175" s="86">
        <f t="shared" si="18"/>
        <v>13393</v>
      </c>
      <c r="F175" s="86" t="e">
        <f t="shared" si="18"/>
        <v>#REF!</v>
      </c>
      <c r="G175" s="86">
        <f t="shared" si="18"/>
        <v>8303</v>
      </c>
      <c r="H175" s="100">
        <f t="shared" si="18"/>
        <v>68489</v>
      </c>
      <c r="I175" s="86">
        <f t="shared" si="18"/>
        <v>23412</v>
      </c>
      <c r="J175" s="32"/>
    </row>
    <row r="176" spans="1:7" ht="13.5" thickTop="1">
      <c r="A176" s="11"/>
      <c r="B176" s="32"/>
      <c r="C176" s="32"/>
      <c r="D176" s="32"/>
      <c r="E176" s="32"/>
      <c r="F176" s="32"/>
      <c r="G176" s="32"/>
    </row>
    <row r="177" ht="12.75">
      <c r="A177" s="3" t="str">
        <f>'a st. of financial position en'!A64</f>
        <v>The Annual Consolidated Financial Statements were authorised on 2 April 2019</v>
      </c>
    </row>
    <row r="178" ht="12.75">
      <c r="G178" s="89"/>
    </row>
    <row r="179" ht="12.75">
      <c r="H179" s="32"/>
    </row>
    <row r="180" spans="1:3" ht="12.75">
      <c r="A180" s="3" t="s">
        <v>55</v>
      </c>
      <c r="C180" s="3" t="s">
        <v>272</v>
      </c>
    </row>
    <row r="181" spans="1:4" ht="12.75">
      <c r="A181" s="9" t="s">
        <v>56</v>
      </c>
      <c r="C181" s="9" t="s">
        <v>273</v>
      </c>
      <c r="D181" s="9"/>
    </row>
    <row r="182" spans="1:4" ht="15">
      <c r="A182" s="9" t="s">
        <v>58</v>
      </c>
      <c r="C182" s="5"/>
      <c r="D182" s="9"/>
    </row>
    <row r="183" ht="12.75">
      <c r="A183" s="9"/>
    </row>
    <row r="184" ht="12.75">
      <c r="A184" s="9"/>
    </row>
    <row r="186" ht="12.75">
      <c r="A186" s="3" t="str">
        <f>'a st. of financial position en'!A76</f>
        <v>Mina Nicolova-Angelova</v>
      </c>
    </row>
    <row r="187" ht="12.75">
      <c r="A187" s="9" t="s">
        <v>57</v>
      </c>
    </row>
    <row r="189" spans="2:9" ht="12.75">
      <c r="B189" s="89"/>
      <c r="C189" s="89"/>
      <c r="D189" s="89"/>
      <c r="E189" s="89"/>
      <c r="F189" s="89"/>
      <c r="G189" s="89"/>
      <c r="H189" s="89"/>
      <c r="I189" s="89"/>
    </row>
    <row r="190" spans="2:9" ht="12.75">
      <c r="B190" s="89"/>
      <c r="C190" s="89"/>
      <c r="D190" s="89"/>
      <c r="E190" s="89"/>
      <c r="F190" s="89"/>
      <c r="G190" s="89"/>
      <c r="H190" s="89"/>
      <c r="I190" s="89"/>
    </row>
    <row r="191" ht="12.75">
      <c r="D191" s="13"/>
    </row>
  </sheetData>
  <sheetProtection/>
  <mergeCells count="22">
    <mergeCell ref="H17:H18"/>
    <mergeCell ref="A17:A18"/>
    <mergeCell ref="A1:E1"/>
    <mergeCell ref="A2:E2"/>
    <mergeCell ref="E3:I3"/>
    <mergeCell ref="B5:H5"/>
    <mergeCell ref="I5:I6"/>
    <mergeCell ref="B17:B18"/>
    <mergeCell ref="C17:C18"/>
    <mergeCell ref="D17:D18"/>
    <mergeCell ref="E17:E18"/>
    <mergeCell ref="G17:G18"/>
    <mergeCell ref="A26:A27"/>
    <mergeCell ref="B26:B27"/>
    <mergeCell ref="C26:C27"/>
    <mergeCell ref="G26:G27"/>
    <mergeCell ref="A33:A34"/>
    <mergeCell ref="B33:B34"/>
    <mergeCell ref="C33:C34"/>
    <mergeCell ref="D33:D34"/>
    <mergeCell ref="E33:E34"/>
    <mergeCell ref="G33:G34"/>
  </mergeCells>
  <printOptions/>
  <pageMargins left="1.46" right="0.17" top="0.51" bottom="0.15" header="0.2" footer="0.2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view="pageBreakPreview" zoomScale="85" zoomScaleSheetLayoutView="85" zoomScalePageLayoutView="0" workbookViewId="0" topLeftCell="A13">
      <selection activeCell="C22" sqref="C22"/>
    </sheetView>
  </sheetViews>
  <sheetFormatPr defaultColWidth="19.421875" defaultRowHeight="12.75"/>
  <cols>
    <col min="1" max="1" width="74.28125" style="5" customWidth="1"/>
    <col min="2" max="2" width="5.7109375" style="5" customWidth="1"/>
    <col min="3" max="3" width="15.7109375" style="5" customWidth="1"/>
    <col min="4" max="4" width="1.421875" style="124" customWidth="1"/>
    <col min="5" max="5" width="20.421875" style="5" hidden="1" customWidth="1"/>
    <col min="6" max="6" width="2.8515625" style="5" hidden="1" customWidth="1"/>
    <col min="7" max="7" width="15.28125" style="5" customWidth="1"/>
    <col min="8" max="9" width="1.1484375" style="124" customWidth="1"/>
    <col min="10" max="10" width="19.421875" style="124" customWidth="1"/>
    <col min="11" max="16384" width="19.421875" style="5" customWidth="1"/>
  </cols>
  <sheetData>
    <row r="1" ht="15">
      <c r="A1" s="18" t="s">
        <v>353</v>
      </c>
    </row>
    <row r="2" ht="15">
      <c r="A2" s="18" t="str">
        <f>'a st. of financial position bg'!A2</f>
        <v>Годишен консолидиран финансов отчет за годината, приключваща към 31 декември 2018</v>
      </c>
    </row>
    <row r="3" spans="1:7" ht="15">
      <c r="A3" s="40" t="s">
        <v>246</v>
      </c>
      <c r="B3" s="40"/>
      <c r="C3" s="40"/>
      <c r="D3" s="214"/>
      <c r="E3" s="40"/>
      <c r="F3" s="40"/>
      <c r="G3" s="40"/>
    </row>
    <row r="4" spans="1:6" ht="15">
      <c r="A4" s="111" t="s">
        <v>355</v>
      </c>
      <c r="B4" s="36"/>
      <c r="C4" s="36"/>
      <c r="D4" s="215"/>
      <c r="E4" s="54" t="s">
        <v>133</v>
      </c>
      <c r="F4" s="36"/>
    </row>
    <row r="5" spans="1:8" ht="15">
      <c r="A5" s="55" t="s">
        <v>131</v>
      </c>
      <c r="B5" s="14" t="s">
        <v>9</v>
      </c>
      <c r="C5" s="109" t="s">
        <v>351</v>
      </c>
      <c r="D5" s="116"/>
      <c r="E5" s="106"/>
      <c r="F5" s="14"/>
      <c r="G5" s="135" t="s">
        <v>370</v>
      </c>
      <c r="H5" s="227"/>
    </row>
    <row r="6" spans="1:8" ht="10.5" customHeight="1">
      <c r="A6" s="1"/>
      <c r="B6" s="1"/>
      <c r="C6" s="1"/>
      <c r="D6" s="117"/>
      <c r="E6" s="1"/>
      <c r="F6" s="1"/>
      <c r="G6" s="39"/>
      <c r="H6" s="228"/>
    </row>
    <row r="7" spans="1:8" ht="15">
      <c r="A7" s="2" t="s">
        <v>109</v>
      </c>
      <c r="B7" s="2">
        <v>3</v>
      </c>
      <c r="C7" s="58">
        <v>138698</v>
      </c>
      <c r="D7" s="119"/>
      <c r="E7" s="58"/>
      <c r="F7" s="2"/>
      <c r="G7" s="58">
        <v>132860</v>
      </c>
      <c r="H7" s="119"/>
    </row>
    <row r="8" spans="1:10" ht="15">
      <c r="A8" s="2" t="s">
        <v>226</v>
      </c>
      <c r="B8" s="2">
        <v>4</v>
      </c>
      <c r="C8" s="58">
        <f>8586-3+518-406</f>
        <v>8695</v>
      </c>
      <c r="D8" s="119"/>
      <c r="E8" s="58"/>
      <c r="F8" s="2"/>
      <c r="G8" s="58">
        <f>1548-665-314</f>
        <v>569</v>
      </c>
      <c r="H8" s="119"/>
      <c r="J8" s="229"/>
    </row>
    <row r="9" spans="1:10" ht="7.5" customHeight="1">
      <c r="A9" s="2"/>
      <c r="B9" s="2"/>
      <c r="C9" s="58"/>
      <c r="D9" s="119"/>
      <c r="E9" s="58"/>
      <c r="F9" s="2"/>
      <c r="G9" s="58"/>
      <c r="H9" s="119"/>
      <c r="J9" s="229"/>
    </row>
    <row r="10" spans="1:10" ht="15">
      <c r="A10" s="2" t="s">
        <v>280</v>
      </c>
      <c r="B10" s="2"/>
      <c r="C10" s="58">
        <v>-67711</v>
      </c>
      <c r="D10" s="119"/>
      <c r="E10" s="58"/>
      <c r="F10" s="2"/>
      <c r="G10" s="58">
        <v>-62690</v>
      </c>
      <c r="H10" s="119"/>
      <c r="J10" s="229"/>
    </row>
    <row r="11" spans="1:8" ht="18" customHeight="1">
      <c r="A11" s="2" t="s">
        <v>110</v>
      </c>
      <c r="B11" s="2"/>
      <c r="C11" s="58">
        <v>2872</v>
      </c>
      <c r="D11" s="119"/>
      <c r="E11" s="58"/>
      <c r="F11" s="2"/>
      <c r="G11" s="58">
        <v>2235</v>
      </c>
      <c r="H11" s="119"/>
    </row>
    <row r="12" spans="1:8" ht="15">
      <c r="A12" s="93" t="s">
        <v>282</v>
      </c>
      <c r="B12" s="2">
        <v>5</v>
      </c>
      <c r="C12" s="58">
        <v>1570</v>
      </c>
      <c r="D12" s="119"/>
      <c r="E12" s="58"/>
      <c r="F12" s="2"/>
      <c r="G12" s="58">
        <v>-4218</v>
      </c>
      <c r="H12" s="119"/>
    </row>
    <row r="13" spans="1:8" ht="15">
      <c r="A13" s="93" t="s">
        <v>283</v>
      </c>
      <c r="B13" s="2">
        <v>6</v>
      </c>
      <c r="C13" s="58">
        <v>-10176</v>
      </c>
      <c r="D13" s="119"/>
      <c r="E13" s="58"/>
      <c r="F13" s="2"/>
      <c r="G13" s="58">
        <v>-9077</v>
      </c>
      <c r="H13" s="119"/>
    </row>
    <row r="14" spans="1:8" ht="15">
      <c r="A14" s="93" t="s">
        <v>284</v>
      </c>
      <c r="B14" s="2"/>
      <c r="C14" s="58">
        <v>-1090</v>
      </c>
      <c r="D14" s="119"/>
      <c r="E14" s="58"/>
      <c r="F14" s="2"/>
      <c r="G14" s="58">
        <v>-1507</v>
      </c>
      <c r="H14" s="119"/>
    </row>
    <row r="15" spans="1:8" ht="15">
      <c r="A15" s="2" t="s">
        <v>224</v>
      </c>
      <c r="B15" s="2">
        <v>7</v>
      </c>
      <c r="C15" s="58">
        <v>-10987</v>
      </c>
      <c r="D15" s="119"/>
      <c r="E15" s="58"/>
      <c r="F15" s="2"/>
      <c r="G15" s="58">
        <v>-10014</v>
      </c>
      <c r="H15" s="119"/>
    </row>
    <row r="16" spans="1:9" ht="15">
      <c r="A16" s="2" t="s">
        <v>225</v>
      </c>
      <c r="B16" s="2">
        <v>8</v>
      </c>
      <c r="C16" s="58">
        <v>-20207</v>
      </c>
      <c r="D16" s="119"/>
      <c r="E16" s="58"/>
      <c r="F16" s="2"/>
      <c r="G16" s="58">
        <v>-17202</v>
      </c>
      <c r="H16" s="119"/>
      <c r="I16" s="118"/>
    </row>
    <row r="17" spans="1:8" ht="15">
      <c r="A17" s="2" t="s">
        <v>111</v>
      </c>
      <c r="B17" s="2">
        <v>9</v>
      </c>
      <c r="C17" s="58">
        <v>-26815</v>
      </c>
      <c r="D17" s="119"/>
      <c r="E17" s="58"/>
      <c r="F17" s="2"/>
      <c r="G17" s="52">
        <v>-23468</v>
      </c>
      <c r="H17" s="119"/>
    </row>
    <row r="18" spans="1:10" ht="15">
      <c r="A18" s="2" t="s">
        <v>112</v>
      </c>
      <c r="B18" s="136" t="s">
        <v>378</v>
      </c>
      <c r="C18" s="58">
        <v>-5324</v>
      </c>
      <c r="D18" s="119"/>
      <c r="E18" s="31"/>
      <c r="F18" s="2"/>
      <c r="G18" s="58">
        <v>-5056</v>
      </c>
      <c r="H18" s="119"/>
      <c r="I18" s="118"/>
      <c r="J18" s="118"/>
    </row>
    <row r="19" spans="1:10" ht="15">
      <c r="A19" s="2" t="s">
        <v>113</v>
      </c>
      <c r="B19" s="2">
        <v>10</v>
      </c>
      <c r="C19" s="58">
        <f>-3767+406</f>
        <v>-3361</v>
      </c>
      <c r="D19" s="119"/>
      <c r="E19" s="58"/>
      <c r="F19" s="2"/>
      <c r="G19" s="58">
        <f>-3881-665+665+314</f>
        <v>-3567</v>
      </c>
      <c r="H19" s="119"/>
      <c r="J19" s="229"/>
    </row>
    <row r="20" spans="1:8" ht="15">
      <c r="A20" s="2" t="s">
        <v>132</v>
      </c>
      <c r="B20" s="2">
        <v>11</v>
      </c>
      <c r="C20" s="58">
        <f>-877+3-518</f>
        <v>-1392</v>
      </c>
      <c r="D20" s="119"/>
      <c r="E20" s="58"/>
      <c r="F20" s="2"/>
      <c r="G20" s="58">
        <f>1003-393</f>
        <v>610</v>
      </c>
      <c r="H20" s="119"/>
    </row>
    <row r="21" spans="1:8" ht="15" hidden="1">
      <c r="A21" s="2" t="s">
        <v>262</v>
      </c>
      <c r="B21" s="2">
        <v>11</v>
      </c>
      <c r="C21" s="2"/>
      <c r="D21" s="127"/>
      <c r="E21" s="2"/>
      <c r="F21" s="2"/>
      <c r="G21" s="58"/>
      <c r="H21" s="119"/>
    </row>
    <row r="22" spans="2:10" ht="15.75" thickBot="1">
      <c r="B22" s="1"/>
      <c r="C22" s="59">
        <f>SUM(C7:C21)</f>
        <v>4772</v>
      </c>
      <c r="D22" s="121">
        <f>SUM(D7:D21)</f>
        <v>0</v>
      </c>
      <c r="E22" s="59">
        <f>SUM(E7:E21)</f>
        <v>0</v>
      </c>
      <c r="F22" s="59">
        <f>SUM(F7:F21)</f>
        <v>0</v>
      </c>
      <c r="G22" s="59">
        <f>SUM(G7:G21)</f>
        <v>-525</v>
      </c>
      <c r="H22" s="121"/>
      <c r="J22" s="229"/>
    </row>
    <row r="23" spans="1:10" ht="15.75" customHeight="1" thickTop="1">
      <c r="A23" s="94" t="s">
        <v>281</v>
      </c>
      <c r="B23" s="95"/>
      <c r="C23" s="110">
        <v>18</v>
      </c>
      <c r="D23" s="216"/>
      <c r="E23" s="110"/>
      <c r="F23" s="134"/>
      <c r="G23" s="110">
        <v>770</v>
      </c>
      <c r="H23" s="121"/>
      <c r="J23" s="230"/>
    </row>
    <row r="24" spans="1:10" ht="6" customHeight="1">
      <c r="A24" s="1"/>
      <c r="B24" s="1"/>
      <c r="C24" s="1"/>
      <c r="D24" s="117"/>
      <c r="E24" s="1"/>
      <c r="F24" s="1"/>
      <c r="G24" s="60"/>
      <c r="H24" s="121"/>
      <c r="J24" s="229"/>
    </row>
    <row r="25" spans="1:10" ht="15">
      <c r="A25" s="1" t="s">
        <v>168</v>
      </c>
      <c r="B25" s="1"/>
      <c r="C25" s="60">
        <f>C22+C23</f>
        <v>4790</v>
      </c>
      <c r="D25" s="121">
        <f>D22+D23</f>
        <v>0</v>
      </c>
      <c r="E25" s="60">
        <f>E22+E23</f>
        <v>0</v>
      </c>
      <c r="F25" s="60">
        <f>F22+F23</f>
        <v>0</v>
      </c>
      <c r="G25" s="60">
        <f>G22+G23</f>
        <v>245</v>
      </c>
      <c r="H25" s="121"/>
      <c r="J25" s="229"/>
    </row>
    <row r="26" spans="1:8" ht="15">
      <c r="A26" s="2" t="s">
        <v>206</v>
      </c>
      <c r="B26" s="2"/>
      <c r="C26" s="58">
        <v>-720</v>
      </c>
      <c r="D26" s="119"/>
      <c r="E26" s="58"/>
      <c r="F26" s="2"/>
      <c r="G26" s="58">
        <v>-631</v>
      </c>
      <c r="H26" s="119"/>
    </row>
    <row r="27" spans="1:8" ht="15.75" thickBot="1">
      <c r="A27" s="1" t="s">
        <v>323</v>
      </c>
      <c r="B27" s="1"/>
      <c r="C27" s="59">
        <f>C25+C26</f>
        <v>4070</v>
      </c>
      <c r="D27" s="121">
        <f>D25+D26</f>
        <v>0</v>
      </c>
      <c r="E27" s="59">
        <f>E25+E26</f>
        <v>0</v>
      </c>
      <c r="F27" s="59">
        <f>F25+F26</f>
        <v>0</v>
      </c>
      <c r="G27" s="59">
        <f>G25+G26</f>
        <v>-386</v>
      </c>
      <c r="H27" s="121"/>
    </row>
    <row r="28" spans="1:8" ht="9" customHeight="1" thickTop="1">
      <c r="A28" s="1"/>
      <c r="B28" s="1"/>
      <c r="C28" s="1"/>
      <c r="D28" s="117"/>
      <c r="E28" s="1"/>
      <c r="F28" s="1"/>
      <c r="G28" s="60"/>
      <c r="H28" s="121"/>
    </row>
    <row r="29" spans="1:8" ht="15">
      <c r="A29" s="2" t="s">
        <v>231</v>
      </c>
      <c r="B29" s="2">
        <v>12</v>
      </c>
      <c r="C29" s="58">
        <v>18</v>
      </c>
      <c r="D29" s="119"/>
      <c r="E29" s="58"/>
      <c r="F29" s="2"/>
      <c r="G29" s="58">
        <v>27</v>
      </c>
      <c r="H29" s="119"/>
    </row>
    <row r="30" spans="1:8" ht="15.75" thickBot="1">
      <c r="A30" s="1" t="s">
        <v>324</v>
      </c>
      <c r="B30" s="2"/>
      <c r="C30" s="59">
        <f>C27+C29</f>
        <v>4088</v>
      </c>
      <c r="D30" s="121">
        <f>D27+D29</f>
        <v>0</v>
      </c>
      <c r="E30" s="59">
        <f>E27+E29</f>
        <v>0</v>
      </c>
      <c r="F30" s="59">
        <f>F27+F29</f>
        <v>0</v>
      </c>
      <c r="G30" s="59">
        <f>G27+G29</f>
        <v>-359</v>
      </c>
      <c r="H30" s="231"/>
    </row>
    <row r="31" spans="1:8" ht="15.75" thickTop="1">
      <c r="A31" s="1"/>
      <c r="B31" s="1"/>
      <c r="C31" s="1"/>
      <c r="D31" s="117"/>
      <c r="E31" s="1"/>
      <c r="F31" s="1"/>
      <c r="G31" s="60"/>
      <c r="H31" s="121"/>
    </row>
    <row r="32" spans="1:8" ht="15">
      <c r="A32" s="1" t="s">
        <v>199</v>
      </c>
      <c r="B32" s="1"/>
      <c r="C32" s="1"/>
      <c r="D32" s="117"/>
      <c r="E32" s="1"/>
      <c r="F32" s="1"/>
      <c r="G32" s="60"/>
      <c r="H32" s="121"/>
    </row>
    <row r="33" spans="1:8" ht="15" hidden="1">
      <c r="A33" s="2" t="s">
        <v>216</v>
      </c>
      <c r="B33" s="1"/>
      <c r="C33" s="1"/>
      <c r="D33" s="117"/>
      <c r="E33" s="1"/>
      <c r="F33" s="1"/>
      <c r="G33" s="58"/>
      <c r="H33" s="119"/>
    </row>
    <row r="34" spans="1:8" ht="15">
      <c r="A34" s="2" t="s">
        <v>200</v>
      </c>
      <c r="B34" s="1"/>
      <c r="C34" s="58">
        <v>-115</v>
      </c>
      <c r="D34" s="119"/>
      <c r="E34" s="58"/>
      <c r="F34" s="1"/>
      <c r="G34" s="58">
        <v>-467</v>
      </c>
      <c r="H34" s="119"/>
    </row>
    <row r="35" spans="1:8" ht="15">
      <c r="A35" s="92" t="s">
        <v>377</v>
      </c>
      <c r="B35" s="1"/>
      <c r="C35" s="58">
        <v>21</v>
      </c>
      <c r="D35" s="119"/>
      <c r="E35" s="58"/>
      <c r="F35" s="1"/>
      <c r="G35" s="58">
        <v>-115</v>
      </c>
      <c r="H35" s="119"/>
    </row>
    <row r="36" spans="1:8" ht="15.75" thickBot="1">
      <c r="A36" s="1"/>
      <c r="B36" s="1"/>
      <c r="C36" s="59">
        <f>SUM(C33:C35)</f>
        <v>-94</v>
      </c>
      <c r="D36" s="121">
        <f>SUM(D33:D35)</f>
        <v>0</v>
      </c>
      <c r="E36" s="59">
        <f>SUM(E33:E35)</f>
        <v>0</v>
      </c>
      <c r="F36" s="59">
        <f>SUM(F33:F35)</f>
        <v>0</v>
      </c>
      <c r="G36" s="59">
        <f>SUM(G33:G35)</f>
        <v>-582</v>
      </c>
      <c r="H36" s="121"/>
    </row>
    <row r="37" spans="1:8" ht="9" customHeight="1" thickBot="1" thickTop="1">
      <c r="A37" s="1"/>
      <c r="B37" s="1"/>
      <c r="C37" s="104"/>
      <c r="D37" s="117"/>
      <c r="E37" s="104"/>
      <c r="F37" s="1"/>
      <c r="G37" s="59"/>
      <c r="H37" s="121"/>
    </row>
    <row r="38" spans="1:8" ht="16.5" thickBot="1" thickTop="1">
      <c r="A38" s="1" t="s">
        <v>201</v>
      </c>
      <c r="B38" s="1"/>
      <c r="C38" s="59">
        <f>C36+C30</f>
        <v>3994</v>
      </c>
      <c r="D38" s="121">
        <f>D36+D30</f>
        <v>0</v>
      </c>
      <c r="E38" s="59">
        <f>E36+E30</f>
        <v>0</v>
      </c>
      <c r="F38" s="59">
        <f>F36+F30</f>
        <v>0</v>
      </c>
      <c r="G38" s="59">
        <f>G36+G30</f>
        <v>-941</v>
      </c>
      <c r="H38" s="121"/>
    </row>
    <row r="39" spans="1:8" ht="9.75" customHeight="1" thickTop="1">
      <c r="A39" s="1"/>
      <c r="B39" s="1"/>
      <c r="C39" s="1"/>
      <c r="D39" s="117"/>
      <c r="E39" s="1"/>
      <c r="F39" s="1"/>
      <c r="G39" s="60"/>
      <c r="H39" s="121"/>
    </row>
    <row r="40" spans="1:8" ht="15">
      <c r="A40" s="1" t="s">
        <v>203</v>
      </c>
      <c r="B40" s="1"/>
      <c r="C40" s="1"/>
      <c r="D40" s="117"/>
      <c r="E40" s="1"/>
      <c r="F40" s="1"/>
      <c r="G40" s="60"/>
      <c r="H40" s="121"/>
    </row>
    <row r="41" spans="1:8" ht="15">
      <c r="A41" s="2" t="s">
        <v>202</v>
      </c>
      <c r="B41" s="1"/>
      <c r="C41" s="58">
        <v>1917</v>
      </c>
      <c r="D41" s="119"/>
      <c r="E41" s="58"/>
      <c r="F41" s="1"/>
      <c r="G41" s="58">
        <v>-1463</v>
      </c>
      <c r="H41" s="119"/>
    </row>
    <row r="42" spans="1:8" ht="15">
      <c r="A42" s="2" t="s">
        <v>214</v>
      </c>
      <c r="B42" s="2">
        <v>13</v>
      </c>
      <c r="C42" s="58">
        <v>2171</v>
      </c>
      <c r="D42" s="119"/>
      <c r="E42" s="58"/>
      <c r="F42" s="2"/>
      <c r="G42" s="61">
        <v>1104</v>
      </c>
      <c r="H42" s="119"/>
    </row>
    <row r="43" spans="1:8" ht="15.75" thickBot="1">
      <c r="A43" s="1"/>
      <c r="B43" s="1"/>
      <c r="C43" s="59">
        <f>SUM(C41:C42)</f>
        <v>4088</v>
      </c>
      <c r="D43" s="121">
        <f>SUM(D41:D42)</f>
        <v>0</v>
      </c>
      <c r="E43" s="59">
        <f>SUM(E41:E42)</f>
        <v>0</v>
      </c>
      <c r="F43" s="59">
        <f>SUM(F41:F42)</f>
        <v>0</v>
      </c>
      <c r="G43" s="59">
        <f>SUM(G41:G42)</f>
        <v>-359</v>
      </c>
      <c r="H43" s="121"/>
    </row>
    <row r="44" spans="1:8" ht="15.75" thickTop="1">
      <c r="A44" s="1" t="s">
        <v>204</v>
      </c>
      <c r="B44" s="2"/>
      <c r="C44" s="2"/>
      <c r="D44" s="127"/>
      <c r="E44" s="2"/>
      <c r="F44" s="2"/>
      <c r="G44" s="58"/>
      <c r="H44" s="121"/>
    </row>
    <row r="45" spans="1:8" ht="15">
      <c r="A45" s="2" t="s">
        <v>202</v>
      </c>
      <c r="B45" s="2"/>
      <c r="C45" s="58">
        <v>1863</v>
      </c>
      <c r="D45" s="119"/>
      <c r="E45" s="58"/>
      <c r="F45" s="2"/>
      <c r="G45" s="58">
        <v>-1810</v>
      </c>
      <c r="H45" s="119"/>
    </row>
    <row r="46" spans="1:8" ht="15">
      <c r="A46" s="2" t="s">
        <v>214</v>
      </c>
      <c r="B46" s="2"/>
      <c r="C46" s="58">
        <v>2131</v>
      </c>
      <c r="D46" s="119"/>
      <c r="E46" s="58"/>
      <c r="F46" s="2"/>
      <c r="G46" s="58">
        <f>G42-235</f>
        <v>869</v>
      </c>
      <c r="H46" s="119"/>
    </row>
    <row r="47" spans="1:8" ht="15.75" thickBot="1">
      <c r="A47" s="1"/>
      <c r="B47" s="2"/>
      <c r="C47" s="59">
        <f>SUM(C45:C46)</f>
        <v>3994</v>
      </c>
      <c r="D47" s="121">
        <f>SUM(D45:D46)</f>
        <v>0</v>
      </c>
      <c r="E47" s="59">
        <f>SUM(E45:E46)</f>
        <v>0</v>
      </c>
      <c r="F47" s="59">
        <f>SUM(F45:F46)</f>
        <v>0</v>
      </c>
      <c r="G47" s="59">
        <f>SUM(G45:G46)</f>
        <v>-941</v>
      </c>
      <c r="H47" s="121"/>
    </row>
    <row r="48" spans="1:8" ht="15.75" thickTop="1">
      <c r="A48" s="2"/>
      <c r="B48" s="2"/>
      <c r="C48" s="2"/>
      <c r="D48" s="127"/>
      <c r="E48" s="2"/>
      <c r="F48" s="2"/>
      <c r="G48" s="53"/>
      <c r="H48" s="217"/>
    </row>
    <row r="49" spans="1:8" ht="15">
      <c r="A49" s="40" t="s">
        <v>221</v>
      </c>
      <c r="B49" s="5">
        <v>14</v>
      </c>
      <c r="C49" s="62">
        <f>C41/'a st. of financial position bg'!C66</f>
        <v>0.10231639624252775</v>
      </c>
      <c r="D49" s="217"/>
      <c r="E49" s="62"/>
      <c r="F49" s="62" t="e">
        <f>F41/'a st. of financial position bg'!F66</f>
        <v>#DIV/0!</v>
      </c>
      <c r="G49" s="62">
        <f>G41/'a st. of financial position bg'!G66</f>
        <v>-0.07808497011101623</v>
      </c>
      <c r="H49" s="217"/>
    </row>
    <row r="50" spans="1:8" ht="15">
      <c r="A50" s="63" t="s">
        <v>205</v>
      </c>
      <c r="B50" s="1"/>
      <c r="C50" s="1"/>
      <c r="D50" s="117"/>
      <c r="E50" s="1"/>
      <c r="F50" s="1"/>
      <c r="G50" s="62"/>
      <c r="H50" s="217"/>
    </row>
    <row r="51" ht="15">
      <c r="H51" s="214"/>
    </row>
    <row r="52" spans="1:8" ht="30" customHeight="1">
      <c r="A52" s="317" t="s">
        <v>371</v>
      </c>
      <c r="B52" s="317"/>
      <c r="C52" s="317"/>
      <c r="D52" s="317"/>
      <c r="E52" s="317"/>
      <c r="F52" s="317"/>
      <c r="G52" s="317"/>
      <c r="H52" s="214"/>
    </row>
    <row r="53" ht="15">
      <c r="A53" s="5" t="s">
        <v>198</v>
      </c>
    </row>
    <row r="54" ht="15">
      <c r="A54" s="5" t="str">
        <f>'a st. of financial position bg'!A38</f>
        <v>от стр.6 до стр. 127, представляващи неразделна част от годишния консолидиран финансов отчет</v>
      </c>
    </row>
    <row r="56" ht="15">
      <c r="A56" s="5" t="str">
        <f>'a st. of financial position bg'!A103</f>
        <v>Годишният консолидиран финансов отчет е одобрен на 12 април 2019 година от:</v>
      </c>
    </row>
    <row r="57" ht="9" customHeight="1"/>
    <row r="58" ht="9" customHeight="1"/>
    <row r="59" spans="1:3" ht="15">
      <c r="A59" s="5" t="s">
        <v>167</v>
      </c>
      <c r="C59" s="5" t="s">
        <v>270</v>
      </c>
    </row>
    <row r="60" spans="1:3" ht="15">
      <c r="A60" s="15" t="s">
        <v>154</v>
      </c>
      <c r="C60" s="15" t="s">
        <v>166</v>
      </c>
    </row>
    <row r="61" ht="15">
      <c r="A61" s="15" t="s">
        <v>271</v>
      </c>
    </row>
    <row r="62" ht="10.5" customHeight="1">
      <c r="A62" s="15"/>
    </row>
    <row r="63" ht="10.5" customHeight="1">
      <c r="A63" s="15"/>
    </row>
    <row r="64" ht="15">
      <c r="A64" s="5" t="str">
        <f>'a st. of financial position bg'!A114</f>
        <v>Мина Николова-Ангелова</v>
      </c>
    </row>
    <row r="65" ht="15">
      <c r="A65" s="15" t="s">
        <v>151</v>
      </c>
    </row>
    <row r="66" ht="9" customHeight="1"/>
    <row r="67" ht="15">
      <c r="A67" s="133" t="s">
        <v>373</v>
      </c>
    </row>
    <row r="68" ht="15">
      <c r="A68" s="133" t="s">
        <v>374</v>
      </c>
    </row>
  </sheetData>
  <sheetProtection/>
  <mergeCells count="1">
    <mergeCell ref="A52:G52"/>
  </mergeCells>
  <printOptions/>
  <pageMargins left="0.6" right="0.15748031496063" top="0.53" bottom="0.61" header="1.35" footer="0.66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8"/>
  <sheetViews>
    <sheetView view="pageBreakPreview" zoomScale="85" zoomScaleSheetLayoutView="85" zoomScalePageLayoutView="0" workbookViewId="0" topLeftCell="A1">
      <selection activeCell="C22" sqref="C22"/>
    </sheetView>
  </sheetViews>
  <sheetFormatPr defaultColWidth="9.140625" defaultRowHeight="12.75"/>
  <cols>
    <col min="1" max="1" width="71.57421875" style="138" customWidth="1"/>
    <col min="2" max="2" width="5.7109375" style="138" customWidth="1"/>
    <col min="3" max="3" width="14.28125" style="138" customWidth="1"/>
    <col min="4" max="4" width="1.421875" style="218" customWidth="1"/>
    <col min="5" max="5" width="20.421875" style="138" hidden="1" customWidth="1"/>
    <col min="6" max="6" width="0.2890625" style="138" customWidth="1"/>
    <col min="7" max="7" width="14.8515625" style="138" customWidth="1"/>
    <col min="8" max="8" width="2.57421875" style="218" customWidth="1"/>
    <col min="9" max="9" width="2.57421875" style="138" customWidth="1"/>
    <col min="10" max="16384" width="9.140625" style="138" customWidth="1"/>
  </cols>
  <sheetData>
    <row r="1" ht="15">
      <c r="A1" s="137" t="s">
        <v>353</v>
      </c>
    </row>
    <row r="2" ht="15">
      <c r="A2" s="137" t="s">
        <v>359</v>
      </c>
    </row>
    <row r="3" spans="1:8" ht="15">
      <c r="A3" s="318" t="s">
        <v>213</v>
      </c>
      <c r="B3" s="318"/>
      <c r="C3" s="318"/>
      <c r="D3" s="318"/>
      <c r="E3" s="318"/>
      <c r="F3" s="318"/>
      <c r="G3" s="318"/>
      <c r="H3" s="318"/>
    </row>
    <row r="4" ht="15">
      <c r="A4" s="139" t="s">
        <v>331</v>
      </c>
    </row>
    <row r="5" spans="1:7" ht="15">
      <c r="A5" s="140"/>
      <c r="G5" s="141"/>
    </row>
    <row r="6" spans="1:7" ht="15">
      <c r="A6" s="140"/>
      <c r="G6" s="142"/>
    </row>
    <row r="7" spans="1:9" ht="30.75" customHeight="1">
      <c r="A7" s="143" t="s">
        <v>131</v>
      </c>
      <c r="B7" s="144" t="s">
        <v>9</v>
      </c>
      <c r="C7" s="145" t="s">
        <v>376</v>
      </c>
      <c r="D7" s="219"/>
      <c r="E7" s="146" t="s">
        <v>354</v>
      </c>
      <c r="F7" s="144"/>
      <c r="G7" s="145" t="s">
        <v>383</v>
      </c>
      <c r="H7" s="238"/>
      <c r="I7" s="147"/>
    </row>
    <row r="8" spans="1:9" ht="15">
      <c r="A8" s="148" t="s">
        <v>115</v>
      </c>
      <c r="B8" s="149"/>
      <c r="C8" s="149"/>
      <c r="D8" s="220"/>
      <c r="E8" s="149"/>
      <c r="F8" s="149"/>
      <c r="G8" s="150"/>
      <c r="H8" s="239"/>
      <c r="I8" s="150"/>
    </row>
    <row r="9" spans="1:9" ht="15">
      <c r="A9" s="148" t="s">
        <v>116</v>
      </c>
      <c r="B9" s="149"/>
      <c r="C9" s="149"/>
      <c r="D9" s="220"/>
      <c r="E9" s="149"/>
      <c r="F9" s="149"/>
      <c r="G9" s="150"/>
      <c r="H9" s="239"/>
      <c r="I9" s="150"/>
    </row>
    <row r="10" spans="1:9" ht="15">
      <c r="A10" s="149" t="s">
        <v>117</v>
      </c>
      <c r="B10" s="149">
        <v>15</v>
      </c>
      <c r="C10" s="151">
        <v>84936</v>
      </c>
      <c r="D10" s="221"/>
      <c r="E10" s="151"/>
      <c r="F10" s="149"/>
      <c r="G10" s="152">
        <v>97951</v>
      </c>
      <c r="H10" s="224"/>
      <c r="I10" s="153"/>
    </row>
    <row r="11" spans="1:9" ht="15" customHeight="1">
      <c r="A11" s="149" t="s">
        <v>146</v>
      </c>
      <c r="B11" s="149">
        <v>16</v>
      </c>
      <c r="C11" s="151">
        <v>13637</v>
      </c>
      <c r="D11" s="221"/>
      <c r="E11" s="151"/>
      <c r="F11" s="149"/>
      <c r="G11" s="152">
        <v>12330</v>
      </c>
      <c r="H11" s="224"/>
      <c r="I11" s="153"/>
    </row>
    <row r="12" spans="1:9" ht="15">
      <c r="A12" s="149" t="s">
        <v>348</v>
      </c>
      <c r="B12" s="149">
        <v>17</v>
      </c>
      <c r="C12" s="151">
        <v>6293</v>
      </c>
      <c r="D12" s="221"/>
      <c r="E12" s="151"/>
      <c r="F12" s="149"/>
      <c r="G12" s="152">
        <v>6293</v>
      </c>
      <c r="H12" s="224"/>
      <c r="I12" s="153"/>
    </row>
    <row r="13" spans="1:9" ht="15">
      <c r="A13" s="149" t="s">
        <v>180</v>
      </c>
      <c r="B13" s="149">
        <v>18</v>
      </c>
      <c r="C13" s="151">
        <v>1149</v>
      </c>
      <c r="D13" s="221"/>
      <c r="E13" s="151"/>
      <c r="F13" s="149"/>
      <c r="G13" s="152">
        <v>845</v>
      </c>
      <c r="H13" s="224"/>
      <c r="I13" s="153"/>
    </row>
    <row r="14" spans="1:9" s="213" customFormat="1" ht="15" customHeight="1">
      <c r="A14" s="154" t="s">
        <v>367</v>
      </c>
      <c r="B14" s="154">
        <v>19</v>
      </c>
      <c r="C14" s="211">
        <f>4583+10125</f>
        <v>14708</v>
      </c>
      <c r="D14" s="222"/>
      <c r="E14" s="211"/>
      <c r="F14" s="154"/>
      <c r="G14" s="169">
        <f>4464+10971</f>
        <v>15435</v>
      </c>
      <c r="H14" s="240"/>
      <c r="I14" s="212"/>
    </row>
    <row r="15" spans="1:9" ht="15">
      <c r="A15" s="149" t="s">
        <v>368</v>
      </c>
      <c r="B15" s="149">
        <v>20</v>
      </c>
      <c r="C15" s="151">
        <v>4816</v>
      </c>
      <c r="D15" s="221"/>
      <c r="E15" s="151"/>
      <c r="F15" s="149"/>
      <c r="G15" s="152">
        <v>5077</v>
      </c>
      <c r="H15" s="224"/>
      <c r="I15" s="153"/>
    </row>
    <row r="16" spans="1:9" ht="15">
      <c r="A16" s="149" t="s">
        <v>120</v>
      </c>
      <c r="B16" s="149">
        <v>21</v>
      </c>
      <c r="C16" s="151">
        <v>275</v>
      </c>
      <c r="D16" s="221"/>
      <c r="E16" s="151"/>
      <c r="F16" s="149"/>
      <c r="G16" s="152">
        <v>437</v>
      </c>
      <c r="H16" s="224"/>
      <c r="I16" s="153"/>
    </row>
    <row r="17" spans="1:9" ht="15" hidden="1">
      <c r="A17" s="149" t="s">
        <v>121</v>
      </c>
      <c r="B17" s="149"/>
      <c r="C17" s="151"/>
      <c r="D17" s="221"/>
      <c r="E17" s="151"/>
      <c r="F17" s="149"/>
      <c r="G17" s="152"/>
      <c r="H17" s="224"/>
      <c r="I17" s="153"/>
    </row>
    <row r="18" spans="1:9" ht="15">
      <c r="A18" s="154" t="s">
        <v>147</v>
      </c>
      <c r="B18" s="149">
        <v>22</v>
      </c>
      <c r="C18" s="155">
        <v>3005</v>
      </c>
      <c r="D18" s="221"/>
      <c r="E18" s="155"/>
      <c r="F18" s="149"/>
      <c r="G18" s="156">
        <v>3268</v>
      </c>
      <c r="H18" s="224"/>
      <c r="I18" s="153"/>
    </row>
    <row r="19" spans="1:8" ht="15.75" thickBot="1">
      <c r="A19" s="148"/>
      <c r="B19" s="149"/>
      <c r="C19" s="157">
        <f>SUM(C10:C18)</f>
        <v>128819</v>
      </c>
      <c r="D19" s="163"/>
      <c r="E19" s="157">
        <f>SUM(E10:E18)</f>
        <v>0</v>
      </c>
      <c r="F19" s="157">
        <f>SUM(F10:F18)</f>
        <v>0</v>
      </c>
      <c r="G19" s="157">
        <f>SUM(G10:G18)</f>
        <v>141636</v>
      </c>
      <c r="H19" s="163"/>
    </row>
    <row r="20" spans="7:9" ht="5.25" customHeight="1" thickTop="1">
      <c r="G20" s="152"/>
      <c r="H20" s="224"/>
      <c r="I20" s="158"/>
    </row>
    <row r="21" spans="1:8" ht="29.25" hidden="1" thickBot="1">
      <c r="A21" s="148" t="s">
        <v>148</v>
      </c>
      <c r="B21" s="149">
        <v>22</v>
      </c>
      <c r="C21" s="149"/>
      <c r="D21" s="220"/>
      <c r="E21" s="149"/>
      <c r="F21" s="149"/>
      <c r="G21" s="159"/>
      <c r="H21" s="224"/>
    </row>
    <row r="22" spans="1:8" ht="15" hidden="1">
      <c r="A22" s="148"/>
      <c r="B22" s="149"/>
      <c r="C22" s="149"/>
      <c r="D22" s="220"/>
      <c r="E22" s="149"/>
      <c r="F22" s="149"/>
      <c r="G22" s="160"/>
      <c r="H22" s="224"/>
    </row>
    <row r="23" spans="1:9" ht="15" hidden="1">
      <c r="A23" s="148"/>
      <c r="B23" s="149"/>
      <c r="C23" s="149"/>
      <c r="D23" s="220"/>
      <c r="E23" s="149"/>
      <c r="F23" s="149"/>
      <c r="G23" s="160"/>
      <c r="H23" s="224"/>
      <c r="I23" s="158"/>
    </row>
    <row r="24" spans="1:9" ht="15">
      <c r="A24" s="148" t="s">
        <v>119</v>
      </c>
      <c r="B24" s="149"/>
      <c r="C24" s="149"/>
      <c r="D24" s="220"/>
      <c r="E24" s="149"/>
      <c r="F24" s="149"/>
      <c r="G24" s="160"/>
      <c r="H24" s="163"/>
      <c r="I24" s="153"/>
    </row>
    <row r="25" spans="1:9" ht="15">
      <c r="A25" s="149" t="s">
        <v>11</v>
      </c>
      <c r="B25" s="149">
        <v>23</v>
      </c>
      <c r="C25" s="151">
        <v>38951</v>
      </c>
      <c r="D25" s="221"/>
      <c r="E25" s="151"/>
      <c r="F25" s="149"/>
      <c r="G25" s="152">
        <v>32173</v>
      </c>
      <c r="H25" s="224"/>
      <c r="I25" s="153"/>
    </row>
    <row r="26" spans="1:9" ht="15">
      <c r="A26" s="149" t="s">
        <v>181</v>
      </c>
      <c r="B26" s="149">
        <v>24</v>
      </c>
      <c r="C26" s="151">
        <v>6392</v>
      </c>
      <c r="D26" s="221"/>
      <c r="E26" s="151"/>
      <c r="F26" s="149"/>
      <c r="G26" s="152">
        <f>13691-7102</f>
        <v>6589</v>
      </c>
      <c r="H26" s="224"/>
      <c r="I26" s="153"/>
    </row>
    <row r="27" spans="1:9" ht="15">
      <c r="A27" s="149" t="s">
        <v>334</v>
      </c>
      <c r="B27" s="149"/>
      <c r="C27" s="151">
        <v>5176</v>
      </c>
      <c r="D27" s="221"/>
      <c r="E27" s="151"/>
      <c r="F27" s="149"/>
      <c r="G27" s="152">
        <v>7102</v>
      </c>
      <c r="H27" s="224"/>
      <c r="I27" s="153"/>
    </row>
    <row r="28" spans="1:9" ht="15">
      <c r="A28" s="149" t="s">
        <v>121</v>
      </c>
      <c r="B28" s="149">
        <v>25</v>
      </c>
      <c r="C28" s="151">
        <v>475</v>
      </c>
      <c r="D28" s="221"/>
      <c r="E28" s="151"/>
      <c r="F28" s="149"/>
      <c r="G28" s="152">
        <v>236</v>
      </c>
      <c r="H28" s="224"/>
      <c r="I28" s="153"/>
    </row>
    <row r="29" spans="1:10" ht="15">
      <c r="A29" s="149" t="s">
        <v>367</v>
      </c>
      <c r="B29" s="149">
        <v>26</v>
      </c>
      <c r="C29" s="151">
        <v>2677</v>
      </c>
      <c r="D29" s="221"/>
      <c r="E29" s="151"/>
      <c r="F29" s="149"/>
      <c r="G29" s="152">
        <v>2867</v>
      </c>
      <c r="H29" s="224"/>
      <c r="I29" s="153"/>
      <c r="J29" s="138" t="s">
        <v>363</v>
      </c>
    </row>
    <row r="30" spans="1:9" ht="15">
      <c r="A30" s="149" t="s">
        <v>182</v>
      </c>
      <c r="B30" s="149">
        <v>27</v>
      </c>
      <c r="C30" s="155">
        <v>14813</v>
      </c>
      <c r="D30" s="221"/>
      <c r="E30" s="155"/>
      <c r="F30" s="149"/>
      <c r="G30" s="152">
        <v>8480</v>
      </c>
      <c r="H30" s="224"/>
      <c r="I30" s="153"/>
    </row>
    <row r="31" spans="1:8" ht="15.75" thickBot="1">
      <c r="A31" s="148"/>
      <c r="B31" s="149"/>
      <c r="C31" s="161">
        <f>SUM(C25:C30)</f>
        <v>68484</v>
      </c>
      <c r="D31" s="163"/>
      <c r="E31" s="161">
        <f>SUM(E25:E30)</f>
        <v>0</v>
      </c>
      <c r="F31" s="161">
        <f>SUM(F25:F30)</f>
        <v>0</v>
      </c>
      <c r="G31" s="161">
        <f>SUM(G25:G30)</f>
        <v>57447</v>
      </c>
      <c r="H31" s="163"/>
    </row>
    <row r="32" spans="1:9" ht="6" customHeight="1" thickTop="1">
      <c r="A32" s="148"/>
      <c r="B32" s="149"/>
      <c r="C32" s="162"/>
      <c r="D32" s="220"/>
      <c r="E32" s="162"/>
      <c r="F32" s="149"/>
      <c r="G32" s="160"/>
      <c r="H32" s="163"/>
      <c r="I32" s="153"/>
    </row>
    <row r="33" spans="1:8" ht="15.75" thickBot="1">
      <c r="A33" s="148" t="s">
        <v>122</v>
      </c>
      <c r="B33" s="149"/>
      <c r="C33" s="161">
        <f>C19+C31+C21</f>
        <v>197303</v>
      </c>
      <c r="D33" s="163"/>
      <c r="E33" s="161">
        <f>E19+E31+E21</f>
        <v>0</v>
      </c>
      <c r="F33" s="161">
        <f>F19+F31+F21</f>
        <v>0</v>
      </c>
      <c r="G33" s="161">
        <f>G19+G31+G21</f>
        <v>199083</v>
      </c>
      <c r="H33" s="163"/>
    </row>
    <row r="34" spans="1:8" ht="15.75" thickTop="1">
      <c r="A34" s="148"/>
      <c r="B34" s="149"/>
      <c r="C34" s="163"/>
      <c r="D34" s="163"/>
      <c r="E34" s="163"/>
      <c r="F34" s="163"/>
      <c r="G34" s="163"/>
      <c r="H34" s="163"/>
    </row>
    <row r="35" spans="1:8" ht="32.25" customHeight="1">
      <c r="A35" s="319" t="s">
        <v>371</v>
      </c>
      <c r="B35" s="319"/>
      <c r="C35" s="319"/>
      <c r="D35" s="319"/>
      <c r="E35" s="319"/>
      <c r="F35" s="319"/>
      <c r="G35" s="319"/>
      <c r="H35" s="163"/>
    </row>
    <row r="36" spans="1:8" ht="15">
      <c r="A36" s="148"/>
      <c r="B36" s="149"/>
      <c r="C36" s="163"/>
      <c r="D36" s="163"/>
      <c r="E36" s="163"/>
      <c r="F36" s="163"/>
      <c r="G36" s="163"/>
      <c r="H36" s="163"/>
    </row>
    <row r="37" ht="15">
      <c r="A37" s="138" t="s">
        <v>372</v>
      </c>
    </row>
    <row r="38" ht="15">
      <c r="A38" s="138" t="s">
        <v>382</v>
      </c>
    </row>
    <row r="39" ht="15">
      <c r="A39" s="138" t="s">
        <v>253</v>
      </c>
    </row>
    <row r="40" ht="15">
      <c r="A40" s="138" t="s">
        <v>369</v>
      </c>
    </row>
    <row r="42" ht="15" hidden="1"/>
    <row r="44" spans="1:5" ht="15">
      <c r="A44" s="138" t="s">
        <v>167</v>
      </c>
      <c r="C44" s="138" t="s">
        <v>270</v>
      </c>
      <c r="E44" s="138" t="s">
        <v>270</v>
      </c>
    </row>
    <row r="45" spans="1:5" ht="15">
      <c r="A45" s="164" t="s">
        <v>154</v>
      </c>
      <c r="C45" s="164" t="s">
        <v>166</v>
      </c>
      <c r="E45" s="164" t="s">
        <v>166</v>
      </c>
    </row>
    <row r="46" ht="15">
      <c r="A46" s="164" t="s">
        <v>271</v>
      </c>
    </row>
    <row r="47" ht="15">
      <c r="A47" s="164"/>
    </row>
    <row r="48" ht="15" hidden="1">
      <c r="A48" s="164"/>
    </row>
    <row r="49" ht="15" hidden="1">
      <c r="A49" s="164"/>
    </row>
    <row r="51" ht="15">
      <c r="A51" s="138" t="s">
        <v>276</v>
      </c>
    </row>
    <row r="52" ht="15">
      <c r="A52" s="164" t="s">
        <v>151</v>
      </c>
    </row>
    <row r="53" spans="1:8" ht="15">
      <c r="A53" s="148"/>
      <c r="B53" s="149"/>
      <c r="C53" s="163"/>
      <c r="D53" s="163"/>
      <c r="E53" s="163"/>
      <c r="F53" s="163"/>
      <c r="G53" s="163"/>
      <c r="H53" s="163"/>
    </row>
    <row r="54" spans="1:8" ht="15">
      <c r="A54" s="148" t="s">
        <v>373</v>
      </c>
      <c r="B54" s="149"/>
      <c r="C54" s="163"/>
      <c r="D54" s="163"/>
      <c r="E54" s="163"/>
      <c r="F54" s="163"/>
      <c r="G54" s="163"/>
      <c r="H54" s="163"/>
    </row>
    <row r="55" spans="1:8" ht="15">
      <c r="A55" s="148" t="s">
        <v>374</v>
      </c>
      <c r="B55" s="149"/>
      <c r="C55" s="163"/>
      <c r="D55" s="163"/>
      <c r="E55" s="163"/>
      <c r="F55" s="163"/>
      <c r="G55" s="163"/>
      <c r="H55" s="163"/>
    </row>
    <row r="56" spans="1:8" ht="15">
      <c r="A56" s="148"/>
      <c r="B56" s="149"/>
      <c r="C56" s="163"/>
      <c r="D56" s="163"/>
      <c r="E56" s="163"/>
      <c r="F56" s="163"/>
      <c r="G56" s="163"/>
      <c r="H56" s="163"/>
    </row>
    <row r="57" spans="1:8" ht="15">
      <c r="A57" s="137" t="s">
        <v>353</v>
      </c>
      <c r="B57" s="149"/>
      <c r="C57" s="163"/>
      <c r="D57" s="163"/>
      <c r="E57" s="163"/>
      <c r="F57" s="163"/>
      <c r="G57" s="163"/>
      <c r="H57" s="163"/>
    </row>
    <row r="58" spans="1:8" ht="15">
      <c r="A58" s="137" t="s">
        <v>359</v>
      </c>
      <c r="B58" s="149"/>
      <c r="C58" s="163"/>
      <c r="D58" s="163"/>
      <c r="E58" s="163"/>
      <c r="F58" s="163"/>
      <c r="G58" s="163"/>
      <c r="H58" s="163"/>
    </row>
    <row r="59" spans="1:8" ht="15">
      <c r="A59" s="318" t="s">
        <v>375</v>
      </c>
      <c r="B59" s="318"/>
      <c r="C59" s="318"/>
      <c r="D59" s="318"/>
      <c r="E59" s="318"/>
      <c r="F59" s="318"/>
      <c r="G59" s="318"/>
      <c r="H59" s="318"/>
    </row>
    <row r="60" ht="15">
      <c r="A60" s="139" t="s">
        <v>331</v>
      </c>
    </row>
    <row r="61" ht="15">
      <c r="A61" s="139"/>
    </row>
    <row r="62" spans="1:8" ht="30" customHeight="1">
      <c r="A62" s="143" t="s">
        <v>131</v>
      </c>
      <c r="B62" s="144" t="s">
        <v>9</v>
      </c>
      <c r="C62" s="145" t="s">
        <v>376</v>
      </c>
      <c r="D62" s="219"/>
      <c r="E62" s="146" t="s">
        <v>354</v>
      </c>
      <c r="F62" s="144"/>
      <c r="G62" s="145" t="s">
        <v>383</v>
      </c>
      <c r="H62" s="163"/>
    </row>
    <row r="63" spans="1:8" ht="15">
      <c r="A63" s="143"/>
      <c r="B63" s="144"/>
      <c r="C63" s="145"/>
      <c r="D63" s="219"/>
      <c r="E63" s="146"/>
      <c r="F63" s="144"/>
      <c r="G63" s="145"/>
      <c r="H63" s="163"/>
    </row>
    <row r="64" spans="1:9" ht="15">
      <c r="A64" s="148" t="s">
        <v>183</v>
      </c>
      <c r="B64" s="149"/>
      <c r="C64" s="149"/>
      <c r="D64" s="220"/>
      <c r="E64" s="149"/>
      <c r="F64" s="149"/>
      <c r="G64" s="160"/>
      <c r="H64" s="163"/>
      <c r="I64" s="153"/>
    </row>
    <row r="65" spans="1:9" ht="28.5">
      <c r="A65" s="148" t="s">
        <v>184</v>
      </c>
      <c r="B65" s="149">
        <v>28</v>
      </c>
      <c r="C65" s="149"/>
      <c r="D65" s="220"/>
      <c r="E65" s="149"/>
      <c r="F65" s="149"/>
      <c r="G65" s="160"/>
      <c r="H65" s="163"/>
      <c r="I65" s="153"/>
    </row>
    <row r="66" spans="1:9" ht="15">
      <c r="A66" s="149" t="s">
        <v>185</v>
      </c>
      <c r="B66" s="149"/>
      <c r="C66" s="151">
        <v>18736</v>
      </c>
      <c r="D66" s="223"/>
      <c r="E66" s="151"/>
      <c r="F66" s="149"/>
      <c r="G66" s="152">
        <v>18736</v>
      </c>
      <c r="H66" s="224"/>
      <c r="I66" s="153"/>
    </row>
    <row r="67" spans="1:9" ht="15">
      <c r="A67" s="149" t="s">
        <v>123</v>
      </c>
      <c r="B67" s="149"/>
      <c r="C67" s="151">
        <v>41450</v>
      </c>
      <c r="D67" s="223"/>
      <c r="E67" s="151"/>
      <c r="F67" s="149"/>
      <c r="G67" s="152">
        <f>24716+19461</f>
        <v>44177</v>
      </c>
      <c r="H67" s="224"/>
      <c r="I67" s="153"/>
    </row>
    <row r="68" spans="1:9" ht="15">
      <c r="A68" s="149" t="s">
        <v>124</v>
      </c>
      <c r="B68" s="149"/>
      <c r="C68" s="155">
        <v>7648</v>
      </c>
      <c r="D68" s="223"/>
      <c r="E68" s="165"/>
      <c r="F68" s="149"/>
      <c r="G68" s="166">
        <f>4654-1463</f>
        <v>3191</v>
      </c>
      <c r="H68" s="241"/>
      <c r="I68" s="153"/>
    </row>
    <row r="69" spans="1:8" ht="15.75" thickBot="1">
      <c r="A69" s="148"/>
      <c r="B69" s="149"/>
      <c r="C69" s="161">
        <f>SUM(C66:C68)</f>
        <v>67834</v>
      </c>
      <c r="D69" s="163"/>
      <c r="E69" s="161">
        <f>SUM(E66:E68)</f>
        <v>0</v>
      </c>
      <c r="F69" s="161">
        <f>SUM(F66:F68)</f>
        <v>0</v>
      </c>
      <c r="G69" s="161">
        <f>SUM(G66:G68)</f>
        <v>66104</v>
      </c>
      <c r="H69" s="163"/>
    </row>
    <row r="70" spans="7:8" ht="7.5" customHeight="1" thickTop="1">
      <c r="G70" s="167"/>
      <c r="H70" s="225"/>
    </row>
    <row r="71" spans="1:8" ht="15">
      <c r="A71" s="148" t="s">
        <v>214</v>
      </c>
      <c r="B71" s="149">
        <v>30</v>
      </c>
      <c r="C71" s="152">
        <v>23399</v>
      </c>
      <c r="D71" s="224"/>
      <c r="E71" s="152"/>
      <c r="F71" s="149"/>
      <c r="G71" s="152">
        <v>34860</v>
      </c>
      <c r="H71" s="224"/>
    </row>
    <row r="72" spans="1:9" ht="6.75" customHeight="1">
      <c r="A72" s="148"/>
      <c r="B72" s="149"/>
      <c r="C72" s="162"/>
      <c r="D72" s="220"/>
      <c r="E72" s="162"/>
      <c r="F72" s="149"/>
      <c r="G72" s="160"/>
      <c r="H72" s="224"/>
      <c r="I72" s="158"/>
    </row>
    <row r="73" spans="1:8" ht="15.75" thickBot="1">
      <c r="A73" s="148" t="s">
        <v>186</v>
      </c>
      <c r="B73" s="149"/>
      <c r="C73" s="161">
        <f>SUM(C69:C71)</f>
        <v>91233</v>
      </c>
      <c r="D73" s="163"/>
      <c r="E73" s="161">
        <f>SUM(E69:E71)</f>
        <v>0</v>
      </c>
      <c r="F73" s="161">
        <f>SUM(F69:F71)</f>
        <v>0</v>
      </c>
      <c r="G73" s="161">
        <f>SUM(G69:G71)</f>
        <v>100964</v>
      </c>
      <c r="H73" s="163"/>
    </row>
    <row r="74" spans="1:9" ht="6.75" customHeight="1" thickTop="1">
      <c r="A74" s="148"/>
      <c r="B74" s="149"/>
      <c r="C74" s="149"/>
      <c r="D74" s="220"/>
      <c r="E74" s="149"/>
      <c r="F74" s="149"/>
      <c r="G74" s="160"/>
      <c r="H74" s="224"/>
      <c r="I74" s="158"/>
    </row>
    <row r="75" spans="1:8" ht="15">
      <c r="A75" s="148" t="s">
        <v>247</v>
      </c>
      <c r="B75" s="149">
        <v>29</v>
      </c>
      <c r="C75" s="152">
        <v>7091</v>
      </c>
      <c r="D75" s="224"/>
      <c r="E75" s="152"/>
      <c r="F75" s="149"/>
      <c r="G75" s="152">
        <v>8726</v>
      </c>
      <c r="H75" s="224"/>
    </row>
    <row r="76" spans="1:9" ht="4.5" customHeight="1">
      <c r="A76" s="148"/>
      <c r="B76" s="149"/>
      <c r="C76" s="149"/>
      <c r="D76" s="220"/>
      <c r="E76" s="149"/>
      <c r="F76" s="149"/>
      <c r="G76" s="160"/>
      <c r="H76" s="224"/>
      <c r="I76" s="158"/>
    </row>
    <row r="77" spans="1:9" ht="15">
      <c r="A77" s="148" t="s">
        <v>125</v>
      </c>
      <c r="B77" s="149"/>
      <c r="C77" s="149"/>
      <c r="D77" s="220"/>
      <c r="E77" s="149"/>
      <c r="F77" s="149"/>
      <c r="G77" s="160"/>
      <c r="H77" s="163"/>
      <c r="I77" s="153"/>
    </row>
    <row r="78" spans="1:9" ht="15">
      <c r="A78" s="149" t="s">
        <v>349</v>
      </c>
      <c r="B78" s="149">
        <v>31</v>
      </c>
      <c r="C78" s="167">
        <v>43291</v>
      </c>
      <c r="D78" s="225"/>
      <c r="E78" s="167"/>
      <c r="F78" s="149"/>
      <c r="G78" s="167">
        <f>12947+21926</f>
        <v>34873</v>
      </c>
      <c r="H78" s="224"/>
      <c r="I78" s="153"/>
    </row>
    <row r="79" spans="1:9" ht="15">
      <c r="A79" s="149" t="s">
        <v>128</v>
      </c>
      <c r="B79" s="149">
        <v>32</v>
      </c>
      <c r="C79" s="167">
        <v>5290</v>
      </c>
      <c r="D79" s="225"/>
      <c r="E79" s="167"/>
      <c r="F79" s="149"/>
      <c r="G79" s="152">
        <v>1408</v>
      </c>
      <c r="H79" s="224"/>
      <c r="I79" s="153"/>
    </row>
    <row r="80" spans="1:9" ht="15">
      <c r="A80" s="149" t="s">
        <v>153</v>
      </c>
      <c r="B80" s="149"/>
      <c r="C80" s="167">
        <v>671</v>
      </c>
      <c r="D80" s="225"/>
      <c r="E80" s="167"/>
      <c r="F80" s="149"/>
      <c r="G80" s="152">
        <v>518</v>
      </c>
      <c r="H80" s="224"/>
      <c r="I80" s="153"/>
    </row>
    <row r="81" spans="1:9" ht="15">
      <c r="A81" s="149" t="s">
        <v>126</v>
      </c>
      <c r="B81" s="149">
        <v>22</v>
      </c>
      <c r="C81" s="167">
        <v>2560</v>
      </c>
      <c r="D81" s="225"/>
      <c r="E81" s="167"/>
      <c r="F81" s="149"/>
      <c r="G81" s="152">
        <v>3080</v>
      </c>
      <c r="H81" s="224"/>
      <c r="I81" s="153"/>
    </row>
    <row r="82" spans="1:9" ht="15" hidden="1">
      <c r="A82" s="149" t="s">
        <v>264</v>
      </c>
      <c r="B82" s="149"/>
      <c r="C82" s="167"/>
      <c r="D82" s="225"/>
      <c r="E82" s="167"/>
      <c r="F82" s="149"/>
      <c r="G82" s="152"/>
      <c r="H82" s="224"/>
      <c r="I82" s="153"/>
    </row>
    <row r="83" spans="1:8" ht="16.5" customHeight="1" thickBot="1">
      <c r="A83" s="148"/>
      <c r="B83" s="149"/>
      <c r="C83" s="161">
        <f>SUM(C78:C82)</f>
        <v>51812</v>
      </c>
      <c r="D83" s="163"/>
      <c r="E83" s="161">
        <f>SUM(E78:E82)</f>
        <v>0</v>
      </c>
      <c r="F83" s="161">
        <f>SUM(F78:F82)</f>
        <v>0</v>
      </c>
      <c r="G83" s="161">
        <f>SUM(G78:G82)</f>
        <v>39879</v>
      </c>
      <c r="H83" s="163"/>
    </row>
    <row r="84" spans="1:9" ht="15.75" thickTop="1">
      <c r="A84" s="148" t="s">
        <v>127</v>
      </c>
      <c r="B84" s="149"/>
      <c r="C84" s="149"/>
      <c r="D84" s="220"/>
      <c r="E84" s="149"/>
      <c r="F84" s="149"/>
      <c r="G84" s="160"/>
      <c r="H84" s="163"/>
      <c r="I84" s="153"/>
    </row>
    <row r="85" spans="1:9" ht="15">
      <c r="A85" s="149" t="s">
        <v>128</v>
      </c>
      <c r="B85" s="149">
        <v>33</v>
      </c>
      <c r="C85" s="167">
        <v>30033</v>
      </c>
      <c r="D85" s="225"/>
      <c r="E85" s="167"/>
      <c r="F85" s="149"/>
      <c r="G85" s="167">
        <f>25383-553</f>
        <v>24830</v>
      </c>
      <c r="H85" s="224"/>
      <c r="I85" s="153"/>
    </row>
    <row r="86" spans="1:9" ht="15">
      <c r="A86" s="149" t="s">
        <v>350</v>
      </c>
      <c r="B86" s="149">
        <v>34</v>
      </c>
      <c r="C86" s="167">
        <v>16666</v>
      </c>
      <c r="D86" s="225"/>
      <c r="E86" s="167"/>
      <c r="F86" s="149"/>
      <c r="G86" s="152">
        <v>24097</v>
      </c>
      <c r="H86" s="224"/>
      <c r="I86" s="153"/>
    </row>
    <row r="87" spans="1:9" ht="15">
      <c r="A87" s="149" t="s">
        <v>333</v>
      </c>
      <c r="B87" s="149"/>
      <c r="C87" s="168">
        <v>468</v>
      </c>
      <c r="D87" s="226"/>
      <c r="E87" s="168"/>
      <c r="F87" s="154"/>
      <c r="G87" s="169">
        <v>553</v>
      </c>
      <c r="H87" s="224"/>
      <c r="I87" s="153"/>
    </row>
    <row r="88" spans="1:9" ht="15">
      <c r="A88" s="149" t="s">
        <v>107</v>
      </c>
      <c r="B88" s="149"/>
      <c r="C88" s="237">
        <v>0</v>
      </c>
      <c r="D88" s="225"/>
      <c r="E88" s="167"/>
      <c r="F88" s="149"/>
      <c r="G88" s="152">
        <v>28</v>
      </c>
      <c r="H88" s="224"/>
      <c r="I88" s="153"/>
    </row>
    <row r="89" spans="1:9" ht="15">
      <c r="A89" s="149" t="s">
        <v>149</v>
      </c>
      <c r="B89" s="149">
        <v>35</v>
      </c>
      <c r="C89" s="237">
        <v>0</v>
      </c>
      <c r="D89" s="225"/>
      <c r="E89" s="167"/>
      <c r="F89" s="149"/>
      <c r="G89" s="152">
        <v>6</v>
      </c>
      <c r="I89" s="153"/>
    </row>
    <row r="90" spans="1:9" ht="15" hidden="1">
      <c r="A90" s="149" t="s">
        <v>238</v>
      </c>
      <c r="B90" s="149">
        <v>36</v>
      </c>
      <c r="C90" s="149"/>
      <c r="D90" s="220"/>
      <c r="E90" s="149"/>
      <c r="F90" s="149"/>
      <c r="G90" s="156"/>
      <c r="H90" s="224"/>
      <c r="I90" s="153"/>
    </row>
    <row r="91" spans="1:8" ht="15.75" thickBot="1">
      <c r="A91" s="148"/>
      <c r="B91" s="149"/>
      <c r="C91" s="161">
        <f>SUM(C85:C90)</f>
        <v>47167</v>
      </c>
      <c r="D91" s="163"/>
      <c r="E91" s="161">
        <f>SUM(E85:E90)</f>
        <v>0</v>
      </c>
      <c r="F91" s="161">
        <f>SUM(F85:F90)</f>
        <v>0</v>
      </c>
      <c r="G91" s="161">
        <f>SUM(G85:G90)</f>
        <v>49514</v>
      </c>
      <c r="H91" s="163"/>
    </row>
    <row r="92" spans="1:8" ht="5.25" customHeight="1" thickTop="1">
      <c r="A92" s="148"/>
      <c r="B92" s="149"/>
      <c r="C92" s="162"/>
      <c r="D92" s="220"/>
      <c r="E92" s="162"/>
      <c r="F92" s="149"/>
      <c r="G92" s="160"/>
      <c r="H92" s="224"/>
    </row>
    <row r="93" spans="1:8" ht="15.75" thickBot="1">
      <c r="A93" s="148" t="s">
        <v>164</v>
      </c>
      <c r="B93" s="149"/>
      <c r="C93" s="161">
        <f>C91+C83</f>
        <v>98979</v>
      </c>
      <c r="D93" s="163"/>
      <c r="E93" s="161">
        <f>E91+E83</f>
        <v>0</v>
      </c>
      <c r="F93" s="161">
        <f>F91+F83</f>
        <v>0</v>
      </c>
      <c r="G93" s="161">
        <f>G91+G83</f>
        <v>89393</v>
      </c>
      <c r="H93" s="163"/>
    </row>
    <row r="94" spans="1:8" ht="7.5" customHeight="1" thickTop="1">
      <c r="A94" s="148"/>
      <c r="B94" s="149"/>
      <c r="C94" s="162"/>
      <c r="D94" s="220"/>
      <c r="E94" s="162"/>
      <c r="F94" s="149"/>
      <c r="G94" s="160"/>
      <c r="H94" s="163"/>
    </row>
    <row r="95" spans="1:8" ht="15.75" thickBot="1">
      <c r="A95" s="148" t="s">
        <v>130</v>
      </c>
      <c r="B95" s="149"/>
      <c r="C95" s="161">
        <f>C69+C75+C71+C83+C91</f>
        <v>197303</v>
      </c>
      <c r="D95" s="163"/>
      <c r="E95" s="161">
        <f>E69+E75+E71+E83+E91</f>
        <v>0</v>
      </c>
      <c r="F95" s="161">
        <f>F69+F75+F71+F83+F91</f>
        <v>0</v>
      </c>
      <c r="G95" s="161">
        <f>G69+G75+G71+G83+G91</f>
        <v>199083</v>
      </c>
      <c r="H95" s="163"/>
    </row>
    <row r="96" ht="15.75" thickTop="1"/>
    <row r="97" ht="15" hidden="1"/>
    <row r="98" spans="1:7" ht="31.5" customHeight="1">
      <c r="A98" s="319" t="s">
        <v>371</v>
      </c>
      <c r="B98" s="319"/>
      <c r="C98" s="319"/>
      <c r="D98" s="319"/>
      <c r="E98" s="319"/>
      <c r="F98" s="319"/>
      <c r="G98" s="319"/>
    </row>
    <row r="99" spans="1:7" ht="15">
      <c r="A99" s="148"/>
      <c r="B99" s="149"/>
      <c r="C99" s="163"/>
      <c r="D99" s="163"/>
      <c r="E99" s="163"/>
      <c r="F99" s="163"/>
      <c r="G99" s="163"/>
    </row>
    <row r="100" ht="15">
      <c r="A100" s="138" t="s">
        <v>372</v>
      </c>
    </row>
    <row r="101" ht="15">
      <c r="A101" s="236" t="str">
        <f>A38</f>
        <v>от стр.6 до стр. 127, представляващи неразделна част от годишния консолидиран финансов отчет</v>
      </c>
    </row>
    <row r="103" ht="15">
      <c r="A103" s="138" t="s">
        <v>369</v>
      </c>
    </row>
    <row r="105" ht="15" hidden="1"/>
    <row r="107" spans="1:5" ht="15">
      <c r="A107" s="138" t="s">
        <v>167</v>
      </c>
      <c r="C107" s="138" t="s">
        <v>270</v>
      </c>
      <c r="E107" s="138" t="s">
        <v>270</v>
      </c>
    </row>
    <row r="108" spans="1:5" ht="15">
      <c r="A108" s="164" t="s">
        <v>154</v>
      </c>
      <c r="C108" s="164" t="s">
        <v>166</v>
      </c>
      <c r="E108" s="164" t="s">
        <v>166</v>
      </c>
    </row>
    <row r="109" ht="15">
      <c r="A109" s="164" t="s">
        <v>271</v>
      </c>
    </row>
    <row r="110" ht="15">
      <c r="A110" s="164"/>
    </row>
    <row r="111" ht="15" hidden="1">
      <c r="A111" s="164"/>
    </row>
    <row r="112" ht="15" hidden="1">
      <c r="A112" s="164"/>
    </row>
    <row r="114" ht="15">
      <c r="A114" s="138" t="s">
        <v>276</v>
      </c>
    </row>
    <row r="115" ht="15">
      <c r="A115" s="164" t="s">
        <v>151</v>
      </c>
    </row>
    <row r="116" ht="15">
      <c r="H116" s="242"/>
    </row>
    <row r="117" ht="15">
      <c r="A117" s="148" t="s">
        <v>373</v>
      </c>
    </row>
    <row r="118" ht="15">
      <c r="A118" s="148" t="s">
        <v>374</v>
      </c>
    </row>
  </sheetData>
  <sheetProtection/>
  <mergeCells count="4">
    <mergeCell ref="A3:H3"/>
    <mergeCell ref="A35:G35"/>
    <mergeCell ref="A98:G98"/>
    <mergeCell ref="A59:H59"/>
  </mergeCells>
  <printOptions/>
  <pageMargins left="0.6" right="0.15748031496063" top="0.53" bottom="0.61" header="1.35" footer="0.66"/>
  <pageSetup horizontalDpi="600" verticalDpi="600" orientation="portrait" paperSize="9" scale="85" r:id="rId1"/>
  <rowBreaks count="1" manualBreakCount="1">
    <brk id="5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56"/>
  <sheetViews>
    <sheetView view="pageBreakPreview" zoomScale="85" zoomScaleSheetLayoutView="85" zoomScalePageLayoutView="0" workbookViewId="0" topLeftCell="A1">
      <selection activeCell="C22" sqref="C22"/>
    </sheetView>
  </sheetViews>
  <sheetFormatPr defaultColWidth="9.140625" defaultRowHeight="12.75"/>
  <cols>
    <col min="1" max="1" width="77.8515625" style="3" customWidth="1"/>
    <col min="2" max="2" width="15.8515625" style="3" customWidth="1"/>
    <col min="3" max="3" width="1.8515625" style="113" customWidth="1"/>
    <col min="4" max="4" width="20.421875" style="3" hidden="1" customWidth="1"/>
    <col min="5" max="5" width="49.140625" style="3" hidden="1" customWidth="1"/>
    <col min="6" max="6" width="14.7109375" style="3" customWidth="1"/>
    <col min="7" max="7" width="20.7109375" style="3" hidden="1" customWidth="1"/>
    <col min="8" max="16384" width="9.140625" style="3" customWidth="1"/>
  </cols>
  <sheetData>
    <row r="1" ht="14.25">
      <c r="A1" s="18" t="s">
        <v>353</v>
      </c>
    </row>
    <row r="2" ht="14.25">
      <c r="A2" s="18" t="str">
        <f>'a st.of comprehensive income bg'!A2</f>
        <v>Годишен консолидиран финансов отчет за годината, приключваща към 31 декември 2018</v>
      </c>
    </row>
    <row r="3" spans="1:5" ht="18.75">
      <c r="A3" s="18" t="s">
        <v>178</v>
      </c>
      <c r="B3" s="17"/>
      <c r="C3" s="114"/>
      <c r="D3" s="17"/>
      <c r="E3" s="17"/>
    </row>
    <row r="4" spans="1:5" ht="18.75">
      <c r="A4" s="111" t="s">
        <v>355</v>
      </c>
      <c r="B4" s="17"/>
      <c r="C4" s="114"/>
      <c r="D4" s="17"/>
      <c r="E4" s="17"/>
    </row>
    <row r="5" spans="1:5" ht="7.5" customHeight="1">
      <c r="A5" s="18"/>
      <c r="B5" s="17"/>
      <c r="C5" s="114"/>
      <c r="D5" s="17"/>
      <c r="E5" s="17"/>
    </row>
    <row r="6" spans="1:9" ht="15">
      <c r="A6" s="56"/>
      <c r="B6" s="56"/>
      <c r="C6" s="115"/>
      <c r="D6" s="56"/>
      <c r="E6" s="56"/>
      <c r="F6" s="5"/>
      <c r="G6" s="5"/>
      <c r="I6" s="3" t="s">
        <v>131</v>
      </c>
    </row>
    <row r="7" spans="1:7" ht="15">
      <c r="A7" s="112" t="s">
        <v>131</v>
      </c>
      <c r="B7" s="109" t="s">
        <v>351</v>
      </c>
      <c r="C7" s="116"/>
      <c r="D7" s="106"/>
      <c r="E7" s="14"/>
      <c r="F7" s="109" t="s">
        <v>352</v>
      </c>
      <c r="G7" s="5"/>
    </row>
    <row r="8" spans="1:7" ht="15">
      <c r="A8" s="14"/>
      <c r="B8" s="14"/>
      <c r="C8" s="116"/>
      <c r="D8" s="14"/>
      <c r="E8" s="14"/>
      <c r="F8" s="5"/>
      <c r="G8" s="5"/>
    </row>
    <row r="9" spans="1:7" ht="15">
      <c r="A9" s="1" t="s">
        <v>170</v>
      </c>
      <c r="B9" s="1"/>
      <c r="C9" s="117"/>
      <c r="D9" s="1"/>
      <c r="E9" s="1"/>
      <c r="F9" s="5"/>
      <c r="G9" s="5"/>
    </row>
    <row r="10" spans="1:7" ht="15">
      <c r="A10" s="127" t="s">
        <v>171</v>
      </c>
      <c r="B10" s="118">
        <v>167016</v>
      </c>
      <c r="C10" s="118"/>
      <c r="D10" s="118"/>
      <c r="E10" s="126"/>
      <c r="F10" s="118">
        <v>142106</v>
      </c>
      <c r="G10" s="57"/>
    </row>
    <row r="11" spans="1:7" ht="15">
      <c r="A11" s="127" t="s">
        <v>265</v>
      </c>
      <c r="B11" s="118">
        <v>490</v>
      </c>
      <c r="C11" s="118"/>
      <c r="D11" s="118"/>
      <c r="E11" s="127"/>
      <c r="F11" s="118">
        <v>421</v>
      </c>
      <c r="G11" s="52"/>
    </row>
    <row r="12" spans="1:7" ht="15" hidden="1">
      <c r="A12" s="2" t="s">
        <v>172</v>
      </c>
      <c r="B12" s="52"/>
      <c r="C12" s="118"/>
      <c r="D12" s="52"/>
      <c r="E12" s="2"/>
      <c r="F12" s="52"/>
      <c r="G12" s="52"/>
    </row>
    <row r="13" spans="1:7" ht="15">
      <c r="A13" s="2" t="s">
        <v>173</v>
      </c>
      <c r="B13" s="52">
        <v>-120170</v>
      </c>
      <c r="C13" s="118"/>
      <c r="D13" s="52"/>
      <c r="E13" s="2"/>
      <c r="F13" s="52">
        <v>-92378</v>
      </c>
      <c r="G13" s="58"/>
    </row>
    <row r="14" spans="1:7" ht="15">
      <c r="A14" s="2" t="s">
        <v>174</v>
      </c>
      <c r="B14" s="52">
        <f>-10674-1235-28902-289-39-840</f>
        <v>-41979</v>
      </c>
      <c r="C14" s="118"/>
      <c r="D14" s="52"/>
      <c r="E14" s="2"/>
      <c r="F14" s="52">
        <f>-9020-1132-25634-1054-11-33-508</f>
        <v>-37392</v>
      </c>
      <c r="G14" s="58"/>
    </row>
    <row r="15" spans="1:8" ht="15">
      <c r="A15" s="2" t="s">
        <v>152</v>
      </c>
      <c r="B15" s="52">
        <f>-7477+5-283</f>
        <v>-7755</v>
      </c>
      <c r="C15" s="118"/>
      <c r="D15" s="52"/>
      <c r="E15" s="2"/>
      <c r="F15" s="52">
        <f>-7047</f>
        <v>-7047</v>
      </c>
      <c r="G15" s="58"/>
      <c r="H15" s="38"/>
    </row>
    <row r="16" spans="1:7" ht="15">
      <c r="A16" s="2" t="s">
        <v>175</v>
      </c>
      <c r="B16" s="64">
        <f>SUM(B13:B15)</f>
        <v>-169904</v>
      </c>
      <c r="C16" s="119">
        <f>SUM(C13:C15)</f>
        <v>0</v>
      </c>
      <c r="D16" s="64">
        <f>SUM(D13:D15)</f>
        <v>0</v>
      </c>
      <c r="E16" s="64">
        <f>SUM(E13:E15)</f>
        <v>0</v>
      </c>
      <c r="F16" s="64">
        <f>SUM(F13:F15)</f>
        <v>-136817</v>
      </c>
      <c r="G16" s="64"/>
    </row>
    <row r="17" spans="1:7" s="9" customFormat="1" ht="15.75" thickBot="1">
      <c r="A17" s="65" t="s">
        <v>176</v>
      </c>
      <c r="B17" s="233">
        <f>B10+B16+B11</f>
        <v>-2398</v>
      </c>
      <c r="C17" s="120">
        <f>C10+C16+C11</f>
        <v>0</v>
      </c>
      <c r="D17" s="66">
        <f>D10+D16+D11</f>
        <v>0</v>
      </c>
      <c r="E17" s="66">
        <f>E10+E16+E11</f>
        <v>0</v>
      </c>
      <c r="F17" s="233">
        <f>F10+F16+F11</f>
        <v>5710</v>
      </c>
      <c r="G17" s="66"/>
    </row>
    <row r="18" spans="1:7" ht="15.75" thickTop="1">
      <c r="A18" s="1" t="s">
        <v>177</v>
      </c>
      <c r="B18" s="1"/>
      <c r="C18" s="117"/>
      <c r="D18" s="1"/>
      <c r="E18" s="1"/>
      <c r="F18" s="52"/>
      <c r="G18" s="52"/>
    </row>
    <row r="19" spans="1:7" ht="15">
      <c r="A19" s="2" t="s">
        <v>14</v>
      </c>
      <c r="B19" s="52">
        <v>4736</v>
      </c>
      <c r="C19" s="118"/>
      <c r="D19" s="52"/>
      <c r="E19" s="2"/>
      <c r="F19" s="52">
        <v>2810</v>
      </c>
      <c r="G19" s="52"/>
    </row>
    <row r="20" spans="1:7" ht="15">
      <c r="A20" s="2" t="s">
        <v>328</v>
      </c>
      <c r="B20" s="52">
        <v>65</v>
      </c>
      <c r="C20" s="118"/>
      <c r="D20" s="52"/>
      <c r="E20" s="2"/>
      <c r="F20" s="52">
        <v>76</v>
      </c>
      <c r="G20" s="52"/>
    </row>
    <row r="21" spans="1:7" ht="15">
      <c r="A21" s="2" t="s">
        <v>2</v>
      </c>
      <c r="B21" s="52">
        <f>2276+12258</f>
        <v>14534</v>
      </c>
      <c r="C21" s="118"/>
      <c r="D21" s="52"/>
      <c r="E21" s="2"/>
      <c r="F21" s="52">
        <f>2351+2347</f>
        <v>4698</v>
      </c>
      <c r="G21" s="52"/>
    </row>
    <row r="22" spans="1:10" ht="15">
      <c r="A22" s="2" t="s">
        <v>193</v>
      </c>
      <c r="B22" s="52">
        <v>-1990</v>
      </c>
      <c r="C22" s="118"/>
      <c r="D22" s="52"/>
      <c r="E22" s="2"/>
      <c r="F22" s="52">
        <v>-1835</v>
      </c>
      <c r="G22" s="58"/>
      <c r="J22" s="89"/>
    </row>
    <row r="23" spans="1:11" ht="15">
      <c r="A23" s="2" t="s">
        <v>196</v>
      </c>
      <c r="B23" s="52">
        <f>-1998-7135</f>
        <v>-9133</v>
      </c>
      <c r="C23" s="118"/>
      <c r="D23" s="52"/>
      <c r="E23" s="2"/>
      <c r="F23" s="52">
        <f>-1379-8104</f>
        <v>-9483</v>
      </c>
      <c r="G23" s="58"/>
      <c r="H23" s="38"/>
      <c r="K23" s="3">
        <f>B23/1.95583</f>
        <v>-4669.628750965064</v>
      </c>
    </row>
    <row r="24" spans="1:7" ht="15">
      <c r="A24" s="2" t="s">
        <v>1</v>
      </c>
      <c r="B24" s="52">
        <f>-301+273+122</f>
        <v>94</v>
      </c>
      <c r="C24" s="118"/>
      <c r="D24" s="52"/>
      <c r="E24" s="2"/>
      <c r="F24" s="52">
        <f>-132+51+34</f>
        <v>-47</v>
      </c>
      <c r="G24" s="58"/>
    </row>
    <row r="25" spans="1:7" ht="15.75" thickBot="1">
      <c r="A25" s="65" t="s">
        <v>189</v>
      </c>
      <c r="B25" s="234">
        <f>SUM(B19:B24)</f>
        <v>8306</v>
      </c>
      <c r="C25" s="119">
        <f>SUM(C19:C24)</f>
        <v>0</v>
      </c>
      <c r="D25" s="67">
        <f>SUM(D19:D24)</f>
        <v>0</v>
      </c>
      <c r="E25" s="67">
        <f>SUM(E19:E24)</f>
        <v>0</v>
      </c>
      <c r="F25" s="234">
        <f>SUM(F19:F24)</f>
        <v>-3781</v>
      </c>
      <c r="G25" s="67"/>
    </row>
    <row r="26" spans="1:7" ht="15.75" thickTop="1">
      <c r="A26" s="1" t="s">
        <v>190</v>
      </c>
      <c r="B26" s="1"/>
      <c r="C26" s="117"/>
      <c r="D26" s="1"/>
      <c r="E26" s="1"/>
      <c r="F26" s="52"/>
      <c r="G26" s="52"/>
    </row>
    <row r="27" spans="1:7" ht="15">
      <c r="A27" s="2" t="s">
        <v>155</v>
      </c>
      <c r="B27" s="52">
        <v>-285</v>
      </c>
      <c r="C27" s="118"/>
      <c r="D27" s="52"/>
      <c r="E27" s="2"/>
      <c r="F27" s="52">
        <v>-244</v>
      </c>
      <c r="G27" s="58"/>
    </row>
    <row r="28" spans="1:7" ht="15" hidden="1">
      <c r="A28" s="2" t="s">
        <v>187</v>
      </c>
      <c r="B28" s="52"/>
      <c r="C28" s="118"/>
      <c r="D28" s="52"/>
      <c r="E28" s="2"/>
      <c r="F28" s="52"/>
      <c r="G28" s="58"/>
    </row>
    <row r="29" spans="1:7" ht="15">
      <c r="A29" s="2" t="s">
        <v>285</v>
      </c>
      <c r="B29" s="52">
        <v>25579</v>
      </c>
      <c r="C29" s="118"/>
      <c r="D29" s="52"/>
      <c r="E29" s="2"/>
      <c r="F29" s="52">
        <v>40053</v>
      </c>
      <c r="G29" s="58"/>
    </row>
    <row r="30" spans="1:7" ht="15">
      <c r="A30" s="2" t="s">
        <v>288</v>
      </c>
      <c r="B30" s="52">
        <v>-18322</v>
      </c>
      <c r="C30" s="118"/>
      <c r="D30" s="52"/>
      <c r="E30" s="2"/>
      <c r="F30" s="52">
        <v>-29153</v>
      </c>
      <c r="G30" s="58"/>
    </row>
    <row r="31" spans="1:7" ht="15">
      <c r="A31" s="2" t="s">
        <v>289</v>
      </c>
      <c r="B31" s="52">
        <v>-537</v>
      </c>
      <c r="C31" s="118"/>
      <c r="D31" s="52"/>
      <c r="E31" s="2"/>
      <c r="F31" s="52">
        <v>-441</v>
      </c>
      <c r="G31" s="58"/>
    </row>
    <row r="32" spans="1:19" ht="15">
      <c r="A32" s="2" t="s">
        <v>286</v>
      </c>
      <c r="B32" s="52">
        <f>24395+12365</f>
        <v>36760</v>
      </c>
      <c r="C32" s="118"/>
      <c r="D32" s="52"/>
      <c r="E32" s="2"/>
      <c r="F32" s="52">
        <f>28794+16553</f>
        <v>45347</v>
      </c>
      <c r="G32" s="58"/>
      <c r="S32" s="3" t="s">
        <v>253</v>
      </c>
    </row>
    <row r="33" spans="1:7" ht="15">
      <c r="A33" s="2" t="s">
        <v>287</v>
      </c>
      <c r="B33" s="52">
        <f>-37717-4006</f>
        <v>-41723</v>
      </c>
      <c r="C33" s="118"/>
      <c r="D33" s="52"/>
      <c r="E33" s="2"/>
      <c r="F33" s="52">
        <f>-25787-26163-5</f>
        <v>-51955</v>
      </c>
      <c r="G33" s="58"/>
    </row>
    <row r="34" spans="1:7" ht="15">
      <c r="A34" s="2" t="s">
        <v>290</v>
      </c>
      <c r="B34" s="52">
        <v>-994</v>
      </c>
      <c r="C34" s="118"/>
      <c r="D34" s="52"/>
      <c r="E34" s="2"/>
      <c r="F34" s="52">
        <v>-1442</v>
      </c>
      <c r="G34" s="58"/>
    </row>
    <row r="35" spans="1:7" ht="15" hidden="1">
      <c r="A35" s="2" t="s">
        <v>3</v>
      </c>
      <c r="B35" s="52"/>
      <c r="C35" s="118"/>
      <c r="D35" s="52"/>
      <c r="E35" s="2"/>
      <c r="F35" s="52"/>
      <c r="G35" s="58"/>
    </row>
    <row r="36" spans="1:7" ht="15">
      <c r="A36" s="2" t="s">
        <v>158</v>
      </c>
      <c r="B36" s="52">
        <f>-9-8</f>
        <v>-17</v>
      </c>
      <c r="C36" s="118"/>
      <c r="D36" s="52"/>
      <c r="E36" s="2"/>
      <c r="F36" s="52">
        <v>-83</v>
      </c>
      <c r="G36" s="58"/>
    </row>
    <row r="37" spans="1:7" s="9" customFormat="1" ht="15.75" thickBot="1">
      <c r="A37" s="65" t="s">
        <v>191</v>
      </c>
      <c r="B37" s="233">
        <f>SUM(B27:B36)</f>
        <v>461</v>
      </c>
      <c r="C37" s="120">
        <f>SUM(C27:C36)</f>
        <v>0</v>
      </c>
      <c r="D37" s="66">
        <f>SUM(D27:D36)</f>
        <v>0</v>
      </c>
      <c r="E37" s="66">
        <f>SUM(E27:E36)</f>
        <v>0</v>
      </c>
      <c r="F37" s="233">
        <f>SUM(F27:F36)</f>
        <v>2082</v>
      </c>
      <c r="G37" s="66"/>
    </row>
    <row r="38" spans="1:7" ht="20.25" customHeight="1" thickTop="1">
      <c r="A38" s="1" t="s">
        <v>192</v>
      </c>
      <c r="B38" s="60">
        <f>B17+B25+B37</f>
        <v>6369</v>
      </c>
      <c r="C38" s="121">
        <f>C17+C25+C37</f>
        <v>0</v>
      </c>
      <c r="D38" s="60">
        <f>D17+D25+D37</f>
        <v>0</v>
      </c>
      <c r="E38" s="60">
        <f>E17+E25+E37</f>
        <v>0</v>
      </c>
      <c r="F38" s="60">
        <f>F17+F25+F37</f>
        <v>4011</v>
      </c>
      <c r="G38" s="60"/>
    </row>
    <row r="39" spans="1:7" ht="14.25">
      <c r="A39" s="128" t="s">
        <v>357</v>
      </c>
      <c r="B39" s="68">
        <v>8480</v>
      </c>
      <c r="C39" s="122"/>
      <c r="D39" s="68"/>
      <c r="E39" s="68">
        <v>4501</v>
      </c>
      <c r="F39" s="68">
        <v>4501</v>
      </c>
      <c r="G39" s="68"/>
    </row>
    <row r="40" spans="1:7" ht="23.25" customHeight="1">
      <c r="A40" s="95" t="s">
        <v>291</v>
      </c>
      <c r="B40" s="129">
        <v>-36</v>
      </c>
      <c r="C40" s="130"/>
      <c r="D40" s="129"/>
      <c r="E40" s="131"/>
      <c r="F40" s="129">
        <f>-51+19</f>
        <v>-32</v>
      </c>
      <c r="G40" s="68"/>
    </row>
    <row r="41" spans="1:7" ht="15" thickBot="1">
      <c r="A41" s="128" t="s">
        <v>356</v>
      </c>
      <c r="B41" s="59">
        <f>SUM(B38:B40)</f>
        <v>14813</v>
      </c>
      <c r="C41" s="121">
        <f>SUM(C38:C40)</f>
        <v>0</v>
      </c>
      <c r="D41" s="232">
        <f>SUM(D38:D40)</f>
        <v>0</v>
      </c>
      <c r="E41" s="232">
        <f>SUM(E38:E40)</f>
        <v>4501</v>
      </c>
      <c r="F41" s="59">
        <f>SUM(F38:F40)</f>
        <v>8480</v>
      </c>
      <c r="G41" s="69"/>
    </row>
    <row r="42" spans="1:7" s="9" customFormat="1" ht="15.75" thickTop="1">
      <c r="A42" s="70"/>
      <c r="B42" s="70"/>
      <c r="C42" s="123"/>
      <c r="D42" s="70"/>
      <c r="E42" s="70"/>
      <c r="F42" s="15"/>
      <c r="G42" s="15"/>
    </row>
    <row r="43" spans="1:10" s="9" customFormat="1" ht="15">
      <c r="A43" s="5" t="str">
        <f>'a st. of financial position bg'!A103</f>
        <v>Годишният консолидиран финансов отчет е одобрен на 12 април 2019 година от:</v>
      </c>
      <c r="B43" s="5"/>
      <c r="C43" s="124"/>
      <c r="D43" s="5"/>
      <c r="E43" s="5"/>
      <c r="F43" s="5"/>
      <c r="G43" s="5"/>
      <c r="H43" s="3"/>
      <c r="I43" s="3"/>
      <c r="J43" s="3"/>
    </row>
    <row r="44" spans="1:7" ht="15">
      <c r="A44" s="5"/>
      <c r="B44" s="5"/>
      <c r="C44" s="124"/>
      <c r="D44" s="5"/>
      <c r="E44" s="5"/>
      <c r="F44" s="5"/>
      <c r="G44" s="5"/>
    </row>
    <row r="45" spans="1:7" ht="15">
      <c r="A45" s="5"/>
      <c r="B45" s="5"/>
      <c r="C45" s="124"/>
      <c r="D45" s="5"/>
      <c r="E45" s="5"/>
      <c r="F45" s="5"/>
      <c r="G45" s="5"/>
    </row>
    <row r="46" spans="1:7" ht="15">
      <c r="A46" s="5" t="s">
        <v>167</v>
      </c>
      <c r="B46" s="5" t="s">
        <v>270</v>
      </c>
      <c r="C46" s="124"/>
      <c r="D46" s="5" t="s">
        <v>270</v>
      </c>
      <c r="E46" s="5"/>
      <c r="G46" s="5"/>
    </row>
    <row r="47" spans="1:5" ht="15">
      <c r="A47" s="15" t="s">
        <v>154</v>
      </c>
      <c r="B47" s="15" t="s">
        <v>166</v>
      </c>
      <c r="C47" s="125"/>
      <c r="D47" s="15" t="s">
        <v>166</v>
      </c>
      <c r="E47" s="15"/>
    </row>
    <row r="48" spans="1:6" ht="15">
      <c r="A48" s="15" t="s">
        <v>271</v>
      </c>
      <c r="B48" s="15"/>
      <c r="C48" s="125"/>
      <c r="D48" s="15"/>
      <c r="E48" s="15"/>
      <c r="F48" s="5"/>
    </row>
    <row r="49" ht="15">
      <c r="G49" s="5"/>
    </row>
    <row r="50" spans="1:7" ht="15">
      <c r="A50" s="15"/>
      <c r="B50" s="15"/>
      <c r="C50" s="125"/>
      <c r="D50" s="15"/>
      <c r="E50" s="15"/>
      <c r="F50" s="5"/>
      <c r="G50" s="5"/>
    </row>
    <row r="51" spans="1:7" ht="15">
      <c r="A51" s="5" t="str">
        <f>'a st. of financial position bg'!A114</f>
        <v>Мина Николова-Ангелова</v>
      </c>
      <c r="B51" s="5"/>
      <c r="C51" s="124"/>
      <c r="D51" s="5"/>
      <c r="E51" s="5"/>
      <c r="F51" s="5"/>
      <c r="G51" s="5"/>
    </row>
    <row r="52" spans="1:7" ht="15">
      <c r="A52" s="15" t="s">
        <v>151</v>
      </c>
      <c r="B52" s="15"/>
      <c r="C52" s="125"/>
      <c r="D52" s="15"/>
      <c r="E52" s="15"/>
      <c r="F52" s="5"/>
      <c r="G52" s="5"/>
    </row>
    <row r="53" spans="1:7" ht="15">
      <c r="A53" s="5"/>
      <c r="B53" s="5"/>
      <c r="C53" s="124"/>
      <c r="D53" s="5"/>
      <c r="E53" s="5"/>
      <c r="F53" s="5"/>
      <c r="G53" s="5"/>
    </row>
    <row r="54" spans="1:7" ht="15">
      <c r="A54" s="133" t="s">
        <v>373</v>
      </c>
      <c r="F54" s="5"/>
      <c r="G54" s="5"/>
    </row>
    <row r="55" spans="1:7" ht="15">
      <c r="A55" s="133" t="s">
        <v>374</v>
      </c>
      <c r="F55" s="5"/>
      <c r="G55" s="5"/>
    </row>
    <row r="56" spans="1:7" ht="15">
      <c r="A56" s="5"/>
      <c r="B56" s="5"/>
      <c r="C56" s="124"/>
      <c r="D56" s="5"/>
      <c r="E56" s="5"/>
      <c r="F56" s="5"/>
      <c r="G56" s="5"/>
    </row>
  </sheetData>
  <sheetProtection/>
  <printOptions/>
  <pageMargins left="0.6" right="0.3" top="0.53" bottom="0.61" header="1.35" footer="0.66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11"/>
  <sheetViews>
    <sheetView view="pageBreakPreview" zoomScaleSheetLayoutView="100" zoomScalePageLayoutView="0" workbookViewId="0" topLeftCell="B168">
      <selection activeCell="G191" sqref="G191"/>
    </sheetView>
  </sheetViews>
  <sheetFormatPr defaultColWidth="9.140625" defaultRowHeight="12.75"/>
  <cols>
    <col min="1" max="1" width="29.28125" style="108" customWidth="1"/>
    <col min="2" max="2" width="8.7109375" style="108" customWidth="1"/>
    <col min="3" max="3" width="9.00390625" style="108" customWidth="1"/>
    <col min="4" max="4" width="13.421875" style="108" customWidth="1"/>
    <col min="5" max="5" width="8.140625" style="108" customWidth="1"/>
    <col min="6" max="6" width="5.421875" style="108" hidden="1" customWidth="1"/>
    <col min="7" max="7" width="14.7109375" style="108" customWidth="1"/>
    <col min="8" max="8" width="7.8515625" style="108" customWidth="1"/>
    <col min="9" max="9" width="11.00390625" style="108" customWidth="1"/>
    <col min="10" max="10" width="8.8515625" style="275" bestFit="1" customWidth="1"/>
    <col min="11" max="11" width="10.140625" style="108" hidden="1" customWidth="1"/>
    <col min="12" max="25" width="0" style="108" hidden="1" customWidth="1"/>
    <col min="26" max="16384" width="9.140625" style="108" customWidth="1"/>
  </cols>
  <sheetData>
    <row r="1" spans="1:9" ht="15">
      <c r="A1" s="18" t="s">
        <v>353</v>
      </c>
      <c r="B1" s="243"/>
      <c r="C1" s="243"/>
      <c r="D1" s="243"/>
      <c r="E1" s="243"/>
      <c r="F1" s="243"/>
      <c r="G1" s="244"/>
      <c r="H1" s="245"/>
      <c r="I1" s="245"/>
    </row>
    <row r="2" spans="1:9" ht="15">
      <c r="A2" s="18" t="str">
        <f>' a st. of cash flows bg'!A2</f>
        <v>Годишен консолидиран финансов отчет за годината, приключваща към 31 декември 2018</v>
      </c>
      <c r="B2" s="243"/>
      <c r="C2" s="243"/>
      <c r="D2" s="243"/>
      <c r="E2" s="243"/>
      <c r="F2" s="243"/>
      <c r="G2" s="244"/>
      <c r="H2" s="245"/>
      <c r="I2" s="245"/>
    </row>
    <row r="3" spans="1:17" ht="15">
      <c r="A3" s="18" t="s">
        <v>358</v>
      </c>
      <c r="B3" s="132"/>
      <c r="C3" s="246"/>
      <c r="D3" s="246"/>
      <c r="E3" s="246"/>
      <c r="F3" s="246"/>
      <c r="G3" s="246"/>
      <c r="H3" s="246"/>
      <c r="I3" s="246"/>
      <c r="J3" s="305"/>
      <c r="K3" s="246"/>
      <c r="L3" s="246"/>
      <c r="M3" s="246"/>
      <c r="N3" s="246"/>
      <c r="O3" s="246"/>
      <c r="P3" s="246"/>
      <c r="Q3" s="246"/>
    </row>
    <row r="4" spans="1:9" ht="15">
      <c r="A4" s="111" t="s">
        <v>355</v>
      </c>
      <c r="B4" s="245"/>
      <c r="C4" s="245"/>
      <c r="D4" s="245"/>
      <c r="E4" s="245"/>
      <c r="F4" s="245"/>
      <c r="G4" s="245"/>
      <c r="H4" s="245"/>
      <c r="I4" s="245"/>
    </row>
    <row r="5" spans="1:9" ht="15">
      <c r="A5" s="245"/>
      <c r="B5" s="245"/>
      <c r="C5" s="245"/>
      <c r="D5" s="245"/>
      <c r="E5" s="245"/>
      <c r="F5" s="245"/>
      <c r="G5" s="245"/>
      <c r="H5" s="245"/>
      <c r="I5" s="245"/>
    </row>
    <row r="6" spans="2:9" ht="15">
      <c r="B6" s="247"/>
      <c r="C6" s="247"/>
      <c r="D6" s="247"/>
      <c r="E6" s="247"/>
      <c r="I6" s="247" t="s">
        <v>131</v>
      </c>
    </row>
    <row r="7" spans="1:8" ht="15">
      <c r="A7" s="325" t="s">
        <v>301</v>
      </c>
      <c r="B7" s="325"/>
      <c r="C7" s="325"/>
      <c r="D7" s="325"/>
      <c r="E7" s="325"/>
      <c r="F7" s="325"/>
      <c r="G7" s="325"/>
      <c r="H7" s="325"/>
    </row>
    <row r="8" spans="1:10" ht="46.5" customHeight="1">
      <c r="A8" s="1"/>
      <c r="B8" s="248" t="s">
        <v>5</v>
      </c>
      <c r="C8" s="248" t="s">
        <v>134</v>
      </c>
      <c r="D8" s="248" t="s">
        <v>200</v>
      </c>
      <c r="E8" s="248" t="s">
        <v>4</v>
      </c>
      <c r="F8" s="248" t="s">
        <v>215</v>
      </c>
      <c r="G8" s="248" t="s">
        <v>256</v>
      </c>
      <c r="H8" s="248" t="s">
        <v>303</v>
      </c>
      <c r="I8" s="131" t="s">
        <v>381</v>
      </c>
      <c r="J8" s="306" t="s">
        <v>186</v>
      </c>
    </row>
    <row r="9" spans="1:9" ht="12.75" customHeight="1" hidden="1">
      <c r="A9" s="1" t="s">
        <v>145</v>
      </c>
      <c r="B9" s="249">
        <v>6575</v>
      </c>
      <c r="C9" s="249"/>
      <c r="D9" s="249">
        <v>40</v>
      </c>
      <c r="E9" s="249">
        <f>657+11926+304</f>
        <v>12887</v>
      </c>
      <c r="F9" s="249"/>
      <c r="G9" s="249">
        <f>33450-1723</f>
        <v>31727</v>
      </c>
      <c r="H9" s="249">
        <f>SUM(B9:G9)</f>
        <v>51229</v>
      </c>
      <c r="I9" s="40">
        <v>23658</v>
      </c>
    </row>
    <row r="10" spans="1:9" ht="12.75" customHeight="1" hidden="1">
      <c r="A10" s="1" t="s">
        <v>135</v>
      </c>
      <c r="B10" s="250"/>
      <c r="C10" s="250"/>
      <c r="D10" s="250"/>
      <c r="E10" s="250"/>
      <c r="F10" s="250"/>
      <c r="G10" s="251"/>
      <c r="H10" s="251">
        <f>SUM(B10:G10)</f>
        <v>0</v>
      </c>
      <c r="I10" s="252"/>
    </row>
    <row r="11" spans="1:9" ht="12.75" customHeight="1" hidden="1">
      <c r="A11" s="2" t="s">
        <v>136</v>
      </c>
      <c r="B11" s="253">
        <f>SUM(B9:B10)</f>
        <v>6575</v>
      </c>
      <c r="C11" s="253"/>
      <c r="D11" s="253">
        <f>SUM(D9:D10)</f>
        <v>40</v>
      </c>
      <c r="E11" s="253">
        <f>SUM(E9:E10)</f>
        <v>12887</v>
      </c>
      <c r="F11" s="253"/>
      <c r="G11" s="253">
        <f>SUM(G9:G10)</f>
        <v>31727</v>
      </c>
      <c r="H11" s="253">
        <f>SUM(B11:G11)</f>
        <v>51229</v>
      </c>
      <c r="I11" s="253">
        <f>SUM(I9:I10)</f>
        <v>23658</v>
      </c>
    </row>
    <row r="12" spans="1:9" ht="12.75" customHeight="1" hidden="1">
      <c r="A12" s="1"/>
      <c r="B12" s="249"/>
      <c r="C12" s="249"/>
      <c r="D12" s="249"/>
      <c r="E12" s="249"/>
      <c r="F12" s="249"/>
      <c r="G12" s="249"/>
      <c r="H12" s="249"/>
      <c r="I12" s="5"/>
    </row>
    <row r="13" spans="1:9" ht="12.75" customHeight="1" hidden="1">
      <c r="A13" s="2" t="s">
        <v>137</v>
      </c>
      <c r="B13" s="249"/>
      <c r="C13" s="249"/>
      <c r="D13" s="253"/>
      <c r="E13" s="249"/>
      <c r="F13" s="249"/>
      <c r="G13" s="249"/>
      <c r="H13" s="253">
        <f aca="true" t="shared" si="0" ref="H13:H21">SUM(B13:G13)</f>
        <v>0</v>
      </c>
      <c r="I13" s="5"/>
    </row>
    <row r="14" spans="1:9" ht="12.75" customHeight="1" hidden="1">
      <c r="A14" s="2" t="s">
        <v>138</v>
      </c>
      <c r="B14" s="249"/>
      <c r="C14" s="249"/>
      <c r="D14" s="253"/>
      <c r="E14" s="249"/>
      <c r="F14" s="249"/>
      <c r="G14" s="249"/>
      <c r="H14" s="253">
        <f t="shared" si="0"/>
        <v>0</v>
      </c>
      <c r="I14" s="5"/>
    </row>
    <row r="15" spans="1:9" ht="12.75" customHeight="1" hidden="1">
      <c r="A15" s="2" t="s">
        <v>139</v>
      </c>
      <c r="B15" s="250"/>
      <c r="C15" s="250"/>
      <c r="D15" s="250"/>
      <c r="E15" s="251"/>
      <c r="F15" s="251"/>
      <c r="G15" s="250"/>
      <c r="H15" s="250">
        <f t="shared" si="0"/>
        <v>0</v>
      </c>
      <c r="I15" s="252"/>
    </row>
    <row r="16" spans="1:9" ht="12.75" customHeight="1" hidden="1">
      <c r="A16" s="2" t="s">
        <v>6</v>
      </c>
      <c r="B16" s="249"/>
      <c r="C16" s="249"/>
      <c r="D16" s="249"/>
      <c r="E16" s="249"/>
      <c r="F16" s="249"/>
      <c r="G16" s="253"/>
      <c r="H16" s="253">
        <f t="shared" si="0"/>
        <v>0</v>
      </c>
      <c r="I16" s="5"/>
    </row>
    <row r="17" spans="1:9" ht="12.75" customHeight="1" hidden="1">
      <c r="A17" s="2" t="s">
        <v>114</v>
      </c>
      <c r="B17" s="249"/>
      <c r="C17" s="249"/>
      <c r="D17" s="249"/>
      <c r="E17" s="249"/>
      <c r="F17" s="249"/>
      <c r="G17" s="253">
        <f>6882+301</f>
        <v>7183</v>
      </c>
      <c r="H17" s="253">
        <f t="shared" si="0"/>
        <v>7183</v>
      </c>
      <c r="I17" s="5">
        <f>1138-301</f>
        <v>837</v>
      </c>
    </row>
    <row r="18" spans="1:9" ht="12.75" customHeight="1" hidden="1">
      <c r="A18" s="2" t="s">
        <v>141</v>
      </c>
      <c r="B18" s="249"/>
      <c r="C18" s="249"/>
      <c r="D18" s="249"/>
      <c r="E18" s="249"/>
      <c r="F18" s="249"/>
      <c r="G18" s="253">
        <v>0</v>
      </c>
      <c r="H18" s="253">
        <f t="shared" si="0"/>
        <v>0</v>
      </c>
      <c r="I18" s="5"/>
    </row>
    <row r="19" spans="1:9" ht="15" customHeight="1" hidden="1">
      <c r="A19" s="324" t="s">
        <v>7</v>
      </c>
      <c r="B19" s="320"/>
      <c r="C19" s="253"/>
      <c r="D19" s="322"/>
      <c r="E19" s="322">
        <v>32</v>
      </c>
      <c r="F19" s="249"/>
      <c r="G19" s="320">
        <v>-32</v>
      </c>
      <c r="H19" s="320">
        <f t="shared" si="0"/>
        <v>0</v>
      </c>
      <c r="I19" s="5"/>
    </row>
    <row r="20" spans="1:9" ht="15" customHeight="1" hidden="1">
      <c r="A20" s="324"/>
      <c r="B20" s="320"/>
      <c r="C20" s="253"/>
      <c r="D20" s="322"/>
      <c r="E20" s="322"/>
      <c r="F20" s="249"/>
      <c r="G20" s="320"/>
      <c r="H20" s="320">
        <f t="shared" si="0"/>
        <v>0</v>
      </c>
      <c r="I20" s="5"/>
    </row>
    <row r="21" spans="1:9" ht="12.75" customHeight="1" hidden="1">
      <c r="A21" s="2" t="s">
        <v>8</v>
      </c>
      <c r="B21" s="253"/>
      <c r="C21" s="253"/>
      <c r="D21" s="249"/>
      <c r="E21" s="249">
        <v>-2</v>
      </c>
      <c r="F21" s="249"/>
      <c r="G21" s="253">
        <v>-132</v>
      </c>
      <c r="H21" s="253">
        <f t="shared" si="0"/>
        <v>-134</v>
      </c>
      <c r="I21" s="5">
        <v>5719</v>
      </c>
    </row>
    <row r="22" spans="1:9" ht="12.75" customHeight="1" hidden="1">
      <c r="A22" s="1" t="s">
        <v>169</v>
      </c>
      <c r="B22" s="254">
        <f>B11+B16+B17+B18+B19+B21</f>
        <v>6575</v>
      </c>
      <c r="C22" s="254"/>
      <c r="D22" s="254">
        <f>D11+D16+D17+D18+D19+D21</f>
        <v>40</v>
      </c>
      <c r="E22" s="254">
        <f>E11+E16+E17+E18+E19+E21</f>
        <v>12917</v>
      </c>
      <c r="F22" s="254"/>
      <c r="G22" s="254">
        <f>G11+G16+G17+G18+G19+G21</f>
        <v>38746</v>
      </c>
      <c r="H22" s="254">
        <f>H11+H16+H17+H18+H19+H21</f>
        <v>58278</v>
      </c>
      <c r="I22" s="254">
        <f>I11+I16+I17+I18+I19+I21</f>
        <v>30214</v>
      </c>
    </row>
    <row r="23" spans="1:9" ht="12.75" customHeight="1" hidden="1">
      <c r="A23" s="1"/>
      <c r="B23" s="249"/>
      <c r="C23" s="249"/>
      <c r="D23" s="249"/>
      <c r="E23" s="249"/>
      <c r="F23" s="249"/>
      <c r="G23" s="249"/>
      <c r="H23" s="249"/>
      <c r="I23" s="5"/>
    </row>
    <row r="24" spans="1:9" ht="12.75" customHeight="1" hidden="1">
      <c r="A24" s="2" t="s">
        <v>156</v>
      </c>
      <c r="B24" s="249"/>
      <c r="C24" s="249"/>
      <c r="D24" s="249"/>
      <c r="E24" s="249"/>
      <c r="F24" s="249"/>
      <c r="G24" s="253">
        <v>3075</v>
      </c>
      <c r="H24" s="253">
        <f>SUM(B24:G24)</f>
        <v>3075</v>
      </c>
      <c r="I24" s="5"/>
    </row>
    <row r="25" spans="1:9" ht="12.75" customHeight="1" hidden="1">
      <c r="A25" s="2" t="s">
        <v>142</v>
      </c>
      <c r="B25" s="249"/>
      <c r="C25" s="249"/>
      <c r="D25" s="253">
        <v>-2</v>
      </c>
      <c r="E25" s="249"/>
      <c r="F25" s="249"/>
      <c r="G25" s="249"/>
      <c r="H25" s="253">
        <f aca="true" t="shared" si="1" ref="H25:H36">SUM(B25:G25)</f>
        <v>-2</v>
      </c>
      <c r="I25" s="5"/>
    </row>
    <row r="26" spans="1:9" ht="12.75" customHeight="1" hidden="1">
      <c r="A26" s="2" t="s">
        <v>143</v>
      </c>
      <c r="B26" s="249"/>
      <c r="C26" s="249"/>
      <c r="D26" s="253"/>
      <c r="E26" s="249"/>
      <c r="F26" s="249"/>
      <c r="G26" s="249"/>
      <c r="H26" s="253">
        <f t="shared" si="1"/>
        <v>0</v>
      </c>
      <c r="I26" s="5"/>
    </row>
    <row r="27" spans="1:9" ht="12.75" customHeight="1" hidden="1">
      <c r="A27" s="2" t="s">
        <v>139</v>
      </c>
      <c r="B27" s="249"/>
      <c r="C27" s="249"/>
      <c r="D27" s="249"/>
      <c r="E27" s="253"/>
      <c r="F27" s="253"/>
      <c r="G27" s="249"/>
      <c r="H27" s="253">
        <f t="shared" si="1"/>
        <v>0</v>
      </c>
      <c r="I27" s="5"/>
    </row>
    <row r="28" spans="1:9" ht="15" customHeight="1" hidden="1">
      <c r="A28" s="324" t="s">
        <v>140</v>
      </c>
      <c r="B28" s="322"/>
      <c r="C28" s="249"/>
      <c r="D28" s="253"/>
      <c r="E28" s="253"/>
      <c r="F28" s="253"/>
      <c r="G28" s="322"/>
      <c r="H28" s="253">
        <f t="shared" si="1"/>
        <v>0</v>
      </c>
      <c r="I28" s="5"/>
    </row>
    <row r="29" spans="1:9" ht="15" customHeight="1" hidden="1">
      <c r="A29" s="324"/>
      <c r="B29" s="322"/>
      <c r="C29" s="249"/>
      <c r="D29" s="253"/>
      <c r="E29" s="253"/>
      <c r="F29" s="253"/>
      <c r="G29" s="322"/>
      <c r="H29" s="253">
        <f t="shared" si="1"/>
        <v>0</v>
      </c>
      <c r="I29" s="5"/>
    </row>
    <row r="30" spans="1:9" ht="12.75" customHeight="1" hidden="1">
      <c r="A30" s="2" t="s">
        <v>165</v>
      </c>
      <c r="B30" s="249"/>
      <c r="C30" s="249"/>
      <c r="D30" s="253">
        <v>160</v>
      </c>
      <c r="E30" s="253"/>
      <c r="F30" s="253"/>
      <c r="G30" s="249"/>
      <c r="H30" s="253">
        <f t="shared" si="1"/>
        <v>160</v>
      </c>
      <c r="I30" s="5"/>
    </row>
    <row r="31" spans="1:9" ht="12.75" customHeight="1" hidden="1">
      <c r="A31" s="2" t="s">
        <v>6</v>
      </c>
      <c r="B31" s="249"/>
      <c r="C31" s="249"/>
      <c r="D31" s="249"/>
      <c r="E31" s="249"/>
      <c r="F31" s="249"/>
      <c r="G31" s="253">
        <v>-1309</v>
      </c>
      <c r="H31" s="253">
        <f t="shared" si="1"/>
        <v>-1309</v>
      </c>
      <c r="I31" s="5"/>
    </row>
    <row r="32" spans="1:9" ht="12.75" customHeight="1" hidden="1">
      <c r="A32" s="2" t="s">
        <v>114</v>
      </c>
      <c r="B32" s="249"/>
      <c r="C32" s="249"/>
      <c r="D32" s="249"/>
      <c r="E32" s="249"/>
      <c r="F32" s="249"/>
      <c r="G32" s="253">
        <v>1009</v>
      </c>
      <c r="H32" s="253">
        <f t="shared" si="1"/>
        <v>1009</v>
      </c>
      <c r="I32" s="5">
        <v>-447</v>
      </c>
    </row>
    <row r="33" spans="1:9" ht="12.75" customHeight="1" hidden="1">
      <c r="A33" s="2" t="s">
        <v>7</v>
      </c>
      <c r="B33" s="249"/>
      <c r="C33" s="249"/>
      <c r="D33" s="249"/>
      <c r="E33" s="249"/>
      <c r="F33" s="249"/>
      <c r="G33" s="253">
        <v>-6486</v>
      </c>
      <c r="H33" s="253">
        <f t="shared" si="1"/>
        <v>-6486</v>
      </c>
      <c r="I33" s="5"/>
    </row>
    <row r="34" spans="1:9" ht="12.75" customHeight="1" hidden="1">
      <c r="A34" s="2" t="s">
        <v>144</v>
      </c>
      <c r="B34" s="249"/>
      <c r="C34" s="249"/>
      <c r="D34" s="249"/>
      <c r="E34" s="249"/>
      <c r="F34" s="249"/>
      <c r="G34" s="253">
        <v>-245</v>
      </c>
      <c r="H34" s="253">
        <f t="shared" si="1"/>
        <v>-245</v>
      </c>
      <c r="I34" s="5"/>
    </row>
    <row r="35" spans="1:9" ht="15" customHeight="1" hidden="1">
      <c r="A35" s="324" t="s">
        <v>8</v>
      </c>
      <c r="B35" s="320">
        <v>6575</v>
      </c>
      <c r="C35" s="253"/>
      <c r="D35" s="322"/>
      <c r="E35" s="320">
        <v>-5724</v>
      </c>
      <c r="F35" s="253"/>
      <c r="G35" s="320">
        <v>12252</v>
      </c>
      <c r="H35" s="253">
        <f t="shared" si="1"/>
        <v>13103</v>
      </c>
      <c r="I35" s="5">
        <v>-3060</v>
      </c>
    </row>
    <row r="36" spans="1:9" ht="15" customHeight="1" hidden="1">
      <c r="A36" s="324"/>
      <c r="B36" s="321"/>
      <c r="C36" s="251"/>
      <c r="D36" s="323"/>
      <c r="E36" s="321"/>
      <c r="F36" s="251"/>
      <c r="G36" s="321"/>
      <c r="H36" s="253">
        <f t="shared" si="1"/>
        <v>0</v>
      </c>
      <c r="I36" s="5"/>
    </row>
    <row r="37" spans="1:9" ht="13.5" customHeight="1" hidden="1" thickBot="1">
      <c r="A37" s="1" t="s">
        <v>179</v>
      </c>
      <c r="B37" s="255">
        <f>SUM(B22,B35)</f>
        <v>13150</v>
      </c>
      <c r="C37" s="255"/>
      <c r="D37" s="255">
        <f>SUM(D22,D25,D26,D29)+D30</f>
        <v>198</v>
      </c>
      <c r="E37" s="255">
        <f>E22+E23+E25+E28+E31+E33+E32+E34+E35</f>
        <v>7193</v>
      </c>
      <c r="F37" s="255"/>
      <c r="G37" s="255">
        <f>G22+G23+G25+G28+G31+G33+G32+G34+G35+G26+G24</f>
        <v>47042</v>
      </c>
      <c r="H37" s="255">
        <f>H22+H23+H25+H28+H31+H33+H32+H34+H35+H26+H24+H30</f>
        <v>67583</v>
      </c>
      <c r="I37" s="255">
        <f>I22+I23+I25+I28+I31+I33+I32+I34+I35+I26</f>
        <v>26707</v>
      </c>
    </row>
    <row r="38" spans="1:9" ht="13.5" customHeight="1" hidden="1" thickTop="1">
      <c r="A38" s="2" t="s">
        <v>156</v>
      </c>
      <c r="B38" s="249"/>
      <c r="C38" s="249"/>
      <c r="D38" s="249"/>
      <c r="E38" s="249"/>
      <c r="F38" s="249"/>
      <c r="G38" s="253">
        <v>-4982</v>
      </c>
      <c r="H38" s="253">
        <f>SUM(B38:G38)</f>
        <v>-4982</v>
      </c>
      <c r="I38" s="249"/>
    </row>
    <row r="39" spans="1:9" ht="12.75" customHeight="1" hidden="1">
      <c r="A39" s="2" t="s">
        <v>160</v>
      </c>
      <c r="B39" s="5"/>
      <c r="C39" s="5"/>
      <c r="D39" s="5"/>
      <c r="E39" s="5"/>
      <c r="F39" s="5"/>
      <c r="G39" s="5">
        <v>-2023</v>
      </c>
      <c r="H39" s="253">
        <f>SUM(B39:G39)</f>
        <v>-2023</v>
      </c>
      <c r="I39" s="5">
        <v>-1141</v>
      </c>
    </row>
    <row r="40" spans="1:9" ht="12.75" customHeight="1" hidden="1">
      <c r="A40" s="2" t="s">
        <v>7</v>
      </c>
      <c r="B40" s="5"/>
      <c r="C40" s="5"/>
      <c r="D40" s="5"/>
      <c r="E40" s="5">
        <v>970</v>
      </c>
      <c r="F40" s="5"/>
      <c r="G40" s="5">
        <v>-970</v>
      </c>
      <c r="H40" s="253">
        <f>SUM(B40:G40)</f>
        <v>0</v>
      </c>
      <c r="I40" s="5"/>
    </row>
    <row r="41" spans="1:9" ht="15" customHeight="1" hidden="1">
      <c r="A41" s="2" t="s">
        <v>8</v>
      </c>
      <c r="B41" s="5"/>
      <c r="C41" s="5"/>
      <c r="D41" s="5"/>
      <c r="E41" s="5"/>
      <c r="F41" s="5"/>
      <c r="G41" s="5">
        <v>6063</v>
      </c>
      <c r="H41" s="253">
        <f>SUM(B41:G41)</f>
        <v>6063</v>
      </c>
      <c r="I41" s="5">
        <v>6226</v>
      </c>
    </row>
    <row r="42" spans="1:9" ht="13.5" customHeight="1" hidden="1" thickBot="1">
      <c r="A42" s="1" t="s">
        <v>188</v>
      </c>
      <c r="B42" s="255">
        <f>B37+B39+B40+B41</f>
        <v>13150</v>
      </c>
      <c r="C42" s="255"/>
      <c r="D42" s="255">
        <f>D37+D39+D40+D41</f>
        <v>198</v>
      </c>
      <c r="E42" s="255">
        <f>E37+E39+E40+E41</f>
        <v>8163</v>
      </c>
      <c r="F42" s="255"/>
      <c r="G42" s="255">
        <f>G37+G39+G40+G41+G38</f>
        <v>45130</v>
      </c>
      <c r="H42" s="255">
        <f>H37+H39+H40+H41+H38</f>
        <v>66641</v>
      </c>
      <c r="I42" s="255">
        <f>I37+I39+I40+I41</f>
        <v>31792</v>
      </c>
    </row>
    <row r="43" spans="1:9" ht="13.5" customHeight="1" hidden="1" thickTop="1">
      <c r="A43" s="2" t="s">
        <v>156</v>
      </c>
      <c r="B43" s="249"/>
      <c r="C43" s="249"/>
      <c r="D43" s="249"/>
      <c r="E43" s="249"/>
      <c r="F43" s="249"/>
      <c r="G43" s="253"/>
      <c r="H43" s="253">
        <f>SUM(B43:G43)</f>
        <v>0</v>
      </c>
      <c r="I43" s="249"/>
    </row>
    <row r="44" spans="1:9" ht="12.75" customHeight="1" hidden="1">
      <c r="A44" s="2" t="s">
        <v>17</v>
      </c>
      <c r="B44" s="5"/>
      <c r="C44" s="5"/>
      <c r="D44" s="5"/>
      <c r="E44" s="5"/>
      <c r="F44" s="5"/>
      <c r="G44" s="5">
        <v>-365</v>
      </c>
      <c r="H44" s="253">
        <f>SUM(B44:G44)</f>
        <v>-365</v>
      </c>
      <c r="I44" s="5">
        <v>2750</v>
      </c>
    </row>
    <row r="45" spans="1:9" ht="12.75" customHeight="1" hidden="1">
      <c r="A45" s="2" t="s">
        <v>6</v>
      </c>
      <c r="B45" s="5"/>
      <c r="C45" s="5"/>
      <c r="D45" s="5"/>
      <c r="E45" s="5"/>
      <c r="F45" s="5"/>
      <c r="G45" s="5"/>
      <c r="H45" s="253">
        <f>SUM(B45:G45)</f>
        <v>0</v>
      </c>
      <c r="I45" s="5"/>
    </row>
    <row r="46" spans="1:9" ht="12.75" customHeight="1" hidden="1">
      <c r="A46" s="2" t="s">
        <v>7</v>
      </c>
      <c r="B46" s="5"/>
      <c r="C46" s="5"/>
      <c r="D46" s="5"/>
      <c r="E46" s="5">
        <v>1428</v>
      </c>
      <c r="F46" s="5"/>
      <c r="G46" s="5"/>
      <c r="H46" s="253">
        <f>SUM(B46:G46)</f>
        <v>1428</v>
      </c>
      <c r="I46" s="5"/>
    </row>
    <row r="47" spans="1:9" ht="15" customHeight="1" hidden="1">
      <c r="A47" s="2" t="s">
        <v>8</v>
      </c>
      <c r="B47" s="5"/>
      <c r="C47" s="5"/>
      <c r="D47" s="5">
        <v>-1</v>
      </c>
      <c r="E47" s="5">
        <v>2</v>
      </c>
      <c r="F47" s="5"/>
      <c r="G47" s="5">
        <v>2231</v>
      </c>
      <c r="H47" s="253">
        <f>SUM(B47:G47)</f>
        <v>2232</v>
      </c>
      <c r="I47" s="5">
        <v>357</v>
      </c>
    </row>
    <row r="48" spans="1:9" ht="13.5" customHeight="1" hidden="1" thickBot="1">
      <c r="A48" s="1" t="s">
        <v>157</v>
      </c>
      <c r="B48" s="255">
        <f>B42+B44+B45+B46+B47+B43</f>
        <v>13150</v>
      </c>
      <c r="C48" s="255"/>
      <c r="D48" s="255">
        <f>D42+D44+D45+D46+D47+D43</f>
        <v>197</v>
      </c>
      <c r="E48" s="255">
        <f>E42+E44+E45+E46+E47+E43</f>
        <v>9593</v>
      </c>
      <c r="F48" s="255"/>
      <c r="G48" s="255">
        <f>G42+G44+G45+G46+G47+G43</f>
        <v>46996</v>
      </c>
      <c r="H48" s="255">
        <f>H42+H44+H45+H46+H47+H43</f>
        <v>69936</v>
      </c>
      <c r="I48" s="255">
        <f>I42+I44+I45+I47</f>
        <v>34899</v>
      </c>
    </row>
    <row r="49" spans="1:9" ht="13.5" customHeight="1" hidden="1" thickTop="1">
      <c r="A49" s="1"/>
      <c r="B49" s="249"/>
      <c r="C49" s="249"/>
      <c r="D49" s="249"/>
      <c r="E49" s="249"/>
      <c r="F49" s="249"/>
      <c r="G49" s="249"/>
      <c r="H49" s="249"/>
      <c r="I49" s="249"/>
    </row>
    <row r="50" spans="1:9" ht="12.75" customHeight="1" hidden="1">
      <c r="A50" s="2" t="s">
        <v>156</v>
      </c>
      <c r="B50" s="249"/>
      <c r="C50" s="249"/>
      <c r="D50" s="253">
        <v>17146</v>
      </c>
      <c r="E50" s="253"/>
      <c r="F50" s="253"/>
      <c r="G50" s="253">
        <f>-17146</f>
        <v>-17146</v>
      </c>
      <c r="H50" s="253">
        <f>SUM(B50:G50)</f>
        <v>0</v>
      </c>
      <c r="I50" s="249"/>
    </row>
    <row r="51" spans="1:9" ht="12.75" customHeight="1" hidden="1">
      <c r="A51" s="2" t="s">
        <v>12</v>
      </c>
      <c r="B51" s="249"/>
      <c r="C51" s="249"/>
      <c r="D51" s="253">
        <v>59321</v>
      </c>
      <c r="E51" s="253"/>
      <c r="F51" s="253"/>
      <c r="G51" s="253"/>
      <c r="H51" s="253">
        <f>SUM(B51:G51)</f>
        <v>59321</v>
      </c>
      <c r="I51" s="249"/>
    </row>
    <row r="52" spans="1:9" ht="12.75" customHeight="1" hidden="1">
      <c r="A52" s="2" t="s">
        <v>7</v>
      </c>
      <c r="B52" s="249"/>
      <c r="C52" s="249"/>
      <c r="D52" s="249"/>
      <c r="E52" s="253">
        <v>87</v>
      </c>
      <c r="F52" s="253"/>
      <c r="G52" s="253"/>
      <c r="H52" s="253">
        <f>SUM(B52:G52)</f>
        <v>87</v>
      </c>
      <c r="I52" s="249"/>
    </row>
    <row r="53" spans="1:9" ht="14.25" customHeight="1" hidden="1">
      <c r="A53" s="2" t="s">
        <v>17</v>
      </c>
      <c r="B53" s="249"/>
      <c r="C53" s="249"/>
      <c r="D53" s="249"/>
      <c r="E53" s="5"/>
      <c r="F53" s="5"/>
      <c r="G53" s="253">
        <v>10540</v>
      </c>
      <c r="H53" s="253">
        <f>SUM(B53:G53)</f>
        <v>10540</v>
      </c>
      <c r="I53" s="253">
        <v>6223</v>
      </c>
    </row>
    <row r="54" spans="1:9" ht="14.25" customHeight="1" hidden="1">
      <c r="A54" s="2" t="s">
        <v>8</v>
      </c>
      <c r="B54" s="249"/>
      <c r="C54" s="249"/>
      <c r="D54" s="249"/>
      <c r="E54" s="249"/>
      <c r="F54" s="249"/>
      <c r="G54" s="253">
        <v>-11911</v>
      </c>
      <c r="H54" s="253">
        <f>SUM(B54:G54)</f>
        <v>-11911</v>
      </c>
      <c r="I54" s="253">
        <v>31545</v>
      </c>
    </row>
    <row r="55" spans="1:9" ht="13.5" customHeight="1" hidden="1" thickBot="1">
      <c r="A55" s="1" t="s">
        <v>161</v>
      </c>
      <c r="B55" s="256">
        <f>B48+B53+B54+B52+B51+B50</f>
        <v>13150</v>
      </c>
      <c r="C55" s="256"/>
      <c r="D55" s="256">
        <f>D48+D53+D54+D52+D51+D50</f>
        <v>76664</v>
      </c>
      <c r="E55" s="256">
        <f>E48+E53+E54+E52+E51+E50</f>
        <v>9680</v>
      </c>
      <c r="F55" s="256"/>
      <c r="G55" s="256">
        <f>G48+G53+G54+G52+G51+G50</f>
        <v>28479</v>
      </c>
      <c r="H55" s="256">
        <f>H48+H53+H54+H52+H51+H50</f>
        <v>127973</v>
      </c>
      <c r="I55" s="256">
        <f>I48+I53+I54+I52+I51+I50</f>
        <v>72667</v>
      </c>
    </row>
    <row r="56" spans="1:9" ht="13.5" customHeight="1" hidden="1" thickTop="1">
      <c r="A56" s="1"/>
      <c r="B56" s="257"/>
      <c r="C56" s="257"/>
      <c r="D56" s="257"/>
      <c r="E56" s="257"/>
      <c r="F56" s="257"/>
      <c r="G56" s="257"/>
      <c r="H56" s="257"/>
      <c r="I56" s="257"/>
    </row>
    <row r="57" spans="1:9" ht="12.75" customHeight="1" hidden="1">
      <c r="A57" s="2" t="s">
        <v>15</v>
      </c>
      <c r="B57" s="258">
        <v>856</v>
      </c>
      <c r="C57" s="258">
        <v>9419</v>
      </c>
      <c r="D57" s="257"/>
      <c r="E57" s="257"/>
      <c r="F57" s="257"/>
      <c r="G57" s="257"/>
      <c r="H57" s="259">
        <f>SUM(B57:G57)</f>
        <v>10275</v>
      </c>
      <c r="I57" s="257"/>
    </row>
    <row r="58" spans="1:9" ht="12.75" customHeight="1" hidden="1">
      <c r="A58" s="2" t="s">
        <v>17</v>
      </c>
      <c r="B58" s="257"/>
      <c r="C58" s="257"/>
      <c r="D58" s="257"/>
      <c r="E58" s="258">
        <v>173</v>
      </c>
      <c r="F58" s="258"/>
      <c r="G58" s="258">
        <v>3541</v>
      </c>
      <c r="H58" s="259">
        <f>SUM(B58:G58)</f>
        <v>3714</v>
      </c>
      <c r="I58" s="258">
        <v>4139</v>
      </c>
    </row>
    <row r="59" spans="1:9" ht="12.75" customHeight="1" hidden="1">
      <c r="A59" s="2" t="s">
        <v>199</v>
      </c>
      <c r="B59" s="257"/>
      <c r="C59" s="257"/>
      <c r="D59" s="258">
        <v>-363</v>
      </c>
      <c r="E59" s="258">
        <v>5</v>
      </c>
      <c r="F59" s="258">
        <v>45</v>
      </c>
      <c r="G59" s="5"/>
      <c r="H59" s="259">
        <f>SUM(B59:G59)</f>
        <v>-313</v>
      </c>
      <c r="I59" s="258"/>
    </row>
    <row r="60" spans="1:9" ht="12.75" customHeight="1" hidden="1">
      <c r="A60" s="2" t="s">
        <v>8</v>
      </c>
      <c r="B60" s="257"/>
      <c r="C60" s="14"/>
      <c r="D60" s="258"/>
      <c r="E60" s="258"/>
      <c r="F60" s="258"/>
      <c r="G60" s="258">
        <f>-8816+45</f>
        <v>-8771</v>
      </c>
      <c r="H60" s="259">
        <f>SUM(B60:G60)</f>
        <v>-8771</v>
      </c>
      <c r="I60" s="258">
        <v>-7287</v>
      </c>
    </row>
    <row r="61" spans="1:11" ht="13.5" customHeight="1" hidden="1" thickBot="1">
      <c r="A61" s="1" t="s">
        <v>222</v>
      </c>
      <c r="B61" s="260">
        <f>SUM(B55:B60)</f>
        <v>14006</v>
      </c>
      <c r="C61" s="260">
        <f aca="true" t="shared" si="2" ref="C61:I61">SUM(C55:C60)</f>
        <v>9419</v>
      </c>
      <c r="D61" s="260">
        <f t="shared" si="2"/>
        <v>76301</v>
      </c>
      <c r="E61" s="260">
        <f t="shared" si="2"/>
        <v>9858</v>
      </c>
      <c r="F61" s="260">
        <f t="shared" si="2"/>
        <v>45</v>
      </c>
      <c r="G61" s="260">
        <f t="shared" si="2"/>
        <v>23249</v>
      </c>
      <c r="H61" s="260">
        <f t="shared" si="2"/>
        <v>132878</v>
      </c>
      <c r="I61" s="260">
        <f t="shared" si="2"/>
        <v>69519</v>
      </c>
      <c r="K61" s="261"/>
    </row>
    <row r="62" spans="1:9" ht="13.5" customHeight="1" hidden="1" thickTop="1">
      <c r="A62" s="1"/>
      <c r="B62" s="257"/>
      <c r="C62" s="257"/>
      <c r="D62" s="257"/>
      <c r="E62" s="257"/>
      <c r="F62" s="257"/>
      <c r="G62" s="257"/>
      <c r="H62" s="257"/>
      <c r="I62" s="257"/>
    </row>
    <row r="63" spans="1:9" ht="12.75" customHeight="1" hidden="1">
      <c r="A63" s="2" t="s">
        <v>17</v>
      </c>
      <c r="B63" s="257"/>
      <c r="C63" s="257"/>
      <c r="D63" s="257"/>
      <c r="E63" s="258"/>
      <c r="F63" s="258"/>
      <c r="G63" s="258">
        <v>-8893</v>
      </c>
      <c r="H63" s="258">
        <f>SUM(B63:G63)</f>
        <v>-8893</v>
      </c>
      <c r="I63" s="258">
        <v>-1731</v>
      </c>
    </row>
    <row r="64" spans="1:9" ht="12.75" customHeight="1" hidden="1">
      <c r="A64" s="2" t="s">
        <v>15</v>
      </c>
      <c r="B64" s="258"/>
      <c r="C64" s="258"/>
      <c r="D64" s="257"/>
      <c r="E64" s="257"/>
      <c r="F64" s="257"/>
      <c r="G64" s="258"/>
      <c r="H64" s="258">
        <f>SUM(B64:G64)</f>
        <v>0</v>
      </c>
      <c r="I64" s="258"/>
    </row>
    <row r="65" spans="1:9" ht="12.75" customHeight="1" hidden="1">
      <c r="A65" s="2" t="s">
        <v>199</v>
      </c>
      <c r="B65" s="258"/>
      <c r="C65" s="258"/>
      <c r="D65" s="258">
        <v>-1894</v>
      </c>
      <c r="E65" s="258"/>
      <c r="F65" s="258">
        <v>-127</v>
      </c>
      <c r="G65" s="258">
        <v>1894</v>
      </c>
      <c r="H65" s="258">
        <f>SUM(B65:G65)</f>
        <v>-127</v>
      </c>
      <c r="I65" s="258"/>
    </row>
    <row r="66" spans="1:9" ht="12.75" customHeight="1" hidden="1">
      <c r="A66" s="2" t="s">
        <v>8</v>
      </c>
      <c r="B66" s="257"/>
      <c r="C66" s="257"/>
      <c r="D66" s="258"/>
      <c r="E66" s="257"/>
      <c r="F66" s="257"/>
      <c r="G66" s="258">
        <f>6164-26</f>
        <v>6138</v>
      </c>
      <c r="H66" s="258">
        <f>SUM(B66:G66)</f>
        <v>6138</v>
      </c>
      <c r="I66" s="258">
        <v>1162</v>
      </c>
    </row>
    <row r="67" spans="1:11" ht="13.5" customHeight="1" hidden="1" thickBot="1">
      <c r="A67" s="1" t="s">
        <v>194</v>
      </c>
      <c r="B67" s="256">
        <f>B66+B65+B64+B63+B61</f>
        <v>14006</v>
      </c>
      <c r="C67" s="256">
        <f>C66+C65+C64+C63+C61</f>
        <v>9419</v>
      </c>
      <c r="D67" s="256">
        <f aca="true" t="shared" si="3" ref="D67:I67">D66+D65+D64+D63+D61</f>
        <v>74407</v>
      </c>
      <c r="E67" s="256">
        <f t="shared" si="3"/>
        <v>9858</v>
      </c>
      <c r="F67" s="256">
        <f t="shared" si="3"/>
        <v>-82</v>
      </c>
      <c r="G67" s="256">
        <f t="shared" si="3"/>
        <v>22388</v>
      </c>
      <c r="H67" s="256">
        <f t="shared" si="3"/>
        <v>129996</v>
      </c>
      <c r="I67" s="256">
        <f t="shared" si="3"/>
        <v>68950</v>
      </c>
      <c r="K67" s="261"/>
    </row>
    <row r="68" spans="1:9" ht="13.5" customHeight="1" hidden="1" thickTop="1">
      <c r="A68" s="1"/>
      <c r="B68" s="257"/>
      <c r="C68" s="257"/>
      <c r="D68" s="257"/>
      <c r="E68" s="257"/>
      <c r="F68" s="257"/>
      <c r="G68" s="257"/>
      <c r="H68" s="257"/>
      <c r="I68" s="257"/>
    </row>
    <row r="69" spans="1:9" ht="12.75" customHeight="1" hidden="1">
      <c r="A69" s="2" t="s">
        <v>17</v>
      </c>
      <c r="B69" s="257"/>
      <c r="C69" s="257"/>
      <c r="D69" s="257"/>
      <c r="E69" s="257"/>
      <c r="F69" s="257"/>
      <c r="G69" s="258"/>
      <c r="H69" s="257">
        <f>SUM(B69:G69)</f>
        <v>0</v>
      </c>
      <c r="I69" s="258"/>
    </row>
    <row r="70" spans="1:9" ht="12.75" customHeight="1" hidden="1">
      <c r="A70" s="2" t="s">
        <v>199</v>
      </c>
      <c r="B70" s="257"/>
      <c r="C70" s="257"/>
      <c r="D70" s="258"/>
      <c r="E70" s="258"/>
      <c r="F70" s="258"/>
      <c r="G70" s="258"/>
      <c r="H70" s="257">
        <f>SUM(B70:G70)</f>
        <v>0</v>
      </c>
      <c r="I70" s="257"/>
    </row>
    <row r="71" spans="1:9" ht="12.75" customHeight="1" hidden="1">
      <c r="A71" s="2" t="s">
        <v>8</v>
      </c>
      <c r="B71" s="257"/>
      <c r="C71" s="257"/>
      <c r="D71" s="258"/>
      <c r="E71" s="257"/>
      <c r="F71" s="257"/>
      <c r="G71" s="258"/>
      <c r="H71" s="257">
        <f>SUM(B71:G71)</f>
        <v>0</v>
      </c>
      <c r="I71" s="258"/>
    </row>
    <row r="72" spans="1:11" ht="13.5" customHeight="1" hidden="1" thickBot="1">
      <c r="A72" s="40" t="s">
        <v>229</v>
      </c>
      <c r="B72" s="262">
        <f>SUM(B67:B71)</f>
        <v>14006</v>
      </c>
      <c r="C72" s="262">
        <f aca="true" t="shared" si="4" ref="C72:I72">SUM(C67:C71)</f>
        <v>9419</v>
      </c>
      <c r="D72" s="262">
        <f>SUM(D67:D71)</f>
        <v>74407</v>
      </c>
      <c r="E72" s="262">
        <f>SUM(E67:E71)</f>
        <v>9858</v>
      </c>
      <c r="F72" s="262">
        <f t="shared" si="4"/>
        <v>-82</v>
      </c>
      <c r="G72" s="262">
        <f>SUM(G67:G71)</f>
        <v>22388</v>
      </c>
      <c r="H72" s="262">
        <f t="shared" si="4"/>
        <v>129996</v>
      </c>
      <c r="I72" s="262">
        <f t="shared" si="4"/>
        <v>68950</v>
      </c>
      <c r="K72" s="261"/>
    </row>
    <row r="73" spans="1:11" ht="13.5" customHeight="1" hidden="1" thickTop="1">
      <c r="A73" s="40"/>
      <c r="B73" s="263"/>
      <c r="C73" s="263"/>
      <c r="D73" s="263"/>
      <c r="E73" s="263"/>
      <c r="F73" s="263"/>
      <c r="G73" s="263"/>
      <c r="H73" s="263"/>
      <c r="I73" s="263"/>
      <c r="K73" s="261"/>
    </row>
    <row r="74" spans="1:11" ht="12.75" customHeight="1" hidden="1">
      <c r="A74" s="2" t="s">
        <v>17</v>
      </c>
      <c r="B74" s="259"/>
      <c r="C74" s="259"/>
      <c r="D74" s="259"/>
      <c r="E74" s="259"/>
      <c r="F74" s="259"/>
      <c r="G74" s="259">
        <v>-1829</v>
      </c>
      <c r="H74" s="263">
        <f>SUM(B74:G74)</f>
        <v>-1829</v>
      </c>
      <c r="I74" s="263">
        <v>-169</v>
      </c>
      <c r="K74" s="261"/>
    </row>
    <row r="75" spans="1:11" ht="12.75" customHeight="1" hidden="1">
      <c r="A75" s="2" t="s">
        <v>199</v>
      </c>
      <c r="B75" s="259"/>
      <c r="C75" s="259"/>
      <c r="D75" s="259">
        <v>-246</v>
      </c>
      <c r="E75" s="259">
        <v>1551</v>
      </c>
      <c r="F75" s="259">
        <v>-973</v>
      </c>
      <c r="G75" s="259"/>
      <c r="H75" s="263">
        <f>SUM(B75:G75)</f>
        <v>332</v>
      </c>
      <c r="I75" s="263"/>
      <c r="K75" s="261"/>
    </row>
    <row r="76" spans="1:11" ht="12.75" customHeight="1" hidden="1">
      <c r="A76" s="2" t="s">
        <v>7</v>
      </c>
      <c r="B76" s="259"/>
      <c r="C76" s="259"/>
      <c r="D76" s="259"/>
      <c r="E76" s="259"/>
      <c r="F76" s="259"/>
      <c r="G76" s="259"/>
      <c r="H76" s="263">
        <f>SUM(B76:G76)</f>
        <v>0</v>
      </c>
      <c r="I76" s="263"/>
      <c r="K76" s="261"/>
    </row>
    <row r="77" spans="1:11" ht="12.75" customHeight="1" hidden="1">
      <c r="A77" s="2" t="s">
        <v>8</v>
      </c>
      <c r="B77" s="259"/>
      <c r="C77" s="259"/>
      <c r="D77" s="259"/>
      <c r="E77" s="259">
        <v>3</v>
      </c>
      <c r="F77" s="259"/>
      <c r="G77" s="259">
        <v>-6580</v>
      </c>
      <c r="H77" s="263">
        <f>SUM(B77:G77)</f>
        <v>-6577</v>
      </c>
      <c r="I77" s="263">
        <v>5241</v>
      </c>
      <c r="K77" s="261"/>
    </row>
    <row r="78" spans="1:11" ht="13.5" customHeight="1" hidden="1" thickBot="1">
      <c r="A78" s="40" t="s">
        <v>227</v>
      </c>
      <c r="B78" s="262">
        <f>SUM(B72:B77)</f>
        <v>14006</v>
      </c>
      <c r="C78" s="262">
        <f aca="true" t="shared" si="5" ref="C78:I78">SUM(C72:C77)</f>
        <v>9419</v>
      </c>
      <c r="D78" s="262">
        <f>SUM(D72:D77)</f>
        <v>74161</v>
      </c>
      <c r="E78" s="262">
        <f t="shared" si="5"/>
        <v>11412</v>
      </c>
      <c r="F78" s="262">
        <f t="shared" si="5"/>
        <v>-1055</v>
      </c>
      <c r="G78" s="262">
        <f t="shared" si="5"/>
        <v>13979</v>
      </c>
      <c r="H78" s="262">
        <f t="shared" si="5"/>
        <v>121922</v>
      </c>
      <c r="I78" s="262">
        <f t="shared" si="5"/>
        <v>74022</v>
      </c>
      <c r="K78" s="261"/>
    </row>
    <row r="79" spans="1:11" ht="13.5" customHeight="1" hidden="1" thickTop="1">
      <c r="A79" s="40"/>
      <c r="B79" s="263"/>
      <c r="C79" s="263"/>
      <c r="D79" s="263"/>
      <c r="E79" s="263"/>
      <c r="F79" s="263"/>
      <c r="G79" s="263"/>
      <c r="H79" s="263"/>
      <c r="I79" s="263"/>
      <c r="K79" s="261"/>
    </row>
    <row r="80" spans="1:11" ht="12.75" customHeight="1" hidden="1">
      <c r="A80" s="2" t="s">
        <v>17</v>
      </c>
      <c r="B80" s="259"/>
      <c r="C80" s="259"/>
      <c r="D80" s="259"/>
      <c r="E80" s="259"/>
      <c r="F80" s="259"/>
      <c r="G80" s="259">
        <f>-2926-2046+1200</f>
        <v>-3772</v>
      </c>
      <c r="H80" s="263">
        <f>SUM(B80:G80)</f>
        <v>-3772</v>
      </c>
      <c r="I80" s="259">
        <f>-2077-814+626</f>
        <v>-2265</v>
      </c>
      <c r="K80" s="261"/>
    </row>
    <row r="81" spans="1:11" ht="12.75" customHeight="1" hidden="1">
      <c r="A81" s="2" t="s">
        <v>7</v>
      </c>
      <c r="B81" s="259"/>
      <c r="C81" s="259"/>
      <c r="D81" s="259"/>
      <c r="E81" s="259">
        <v>176</v>
      </c>
      <c r="F81" s="259"/>
      <c r="G81" s="259">
        <v>-176</v>
      </c>
      <c r="H81" s="263">
        <f>SUM(B81:G81)</f>
        <v>0</v>
      </c>
      <c r="I81" s="259"/>
      <c r="K81" s="261"/>
    </row>
    <row r="82" spans="1:11" ht="12.75" customHeight="1" hidden="1">
      <c r="A82" s="2" t="s">
        <v>199</v>
      </c>
      <c r="B82" s="259"/>
      <c r="C82" s="259"/>
      <c r="D82" s="259">
        <f>-112-12+752</f>
        <v>628</v>
      </c>
      <c r="E82" s="259"/>
      <c r="F82" s="259">
        <f>-515-312-307</f>
        <v>-1134</v>
      </c>
      <c r="G82" s="259"/>
      <c r="H82" s="263">
        <f>SUM(B82:G82)</f>
        <v>-506</v>
      </c>
      <c r="I82" s="259"/>
      <c r="K82" s="261"/>
    </row>
    <row r="83" spans="1:11" ht="12.75" customHeight="1" hidden="1">
      <c r="A83" s="2" t="s">
        <v>8</v>
      </c>
      <c r="B83" s="259"/>
      <c r="C83" s="259"/>
      <c r="D83" s="259"/>
      <c r="E83" s="259"/>
      <c r="F83" s="259"/>
      <c r="G83" s="259">
        <f>1372-1751+464</f>
        <v>85</v>
      </c>
      <c r="H83" s="263">
        <f>SUM(B83:G83)</f>
        <v>85</v>
      </c>
      <c r="I83" s="259">
        <f>-815+702+842</f>
        <v>729</v>
      </c>
      <c r="K83" s="261"/>
    </row>
    <row r="84" spans="1:11" ht="13.5" customHeight="1" hidden="1" thickBot="1">
      <c r="A84" s="40" t="s">
        <v>234</v>
      </c>
      <c r="B84" s="262">
        <f>SUM(B78:B83)</f>
        <v>14006</v>
      </c>
      <c r="C84" s="262">
        <f aca="true" t="shared" si="6" ref="C84:I84">SUM(C78:C83)</f>
        <v>9419</v>
      </c>
      <c r="D84" s="262">
        <f t="shared" si="6"/>
        <v>74789</v>
      </c>
      <c r="E84" s="262">
        <f>SUM(E78:E83)</f>
        <v>11588</v>
      </c>
      <c r="F84" s="262">
        <f t="shared" si="6"/>
        <v>-2189</v>
      </c>
      <c r="G84" s="262">
        <f t="shared" si="6"/>
        <v>10116</v>
      </c>
      <c r="H84" s="262">
        <f t="shared" si="6"/>
        <v>117729</v>
      </c>
      <c r="I84" s="262">
        <f t="shared" si="6"/>
        <v>72486</v>
      </c>
      <c r="K84" s="261"/>
    </row>
    <row r="85" spans="1:11" ht="13.5" customHeight="1" hidden="1" thickTop="1">
      <c r="A85" s="40"/>
      <c r="B85" s="263"/>
      <c r="C85" s="263"/>
      <c r="D85" s="263"/>
      <c r="E85" s="263"/>
      <c r="F85" s="263"/>
      <c r="G85" s="263"/>
      <c r="H85" s="263"/>
      <c r="I85" s="263"/>
      <c r="K85" s="261"/>
    </row>
    <row r="86" spans="1:11" ht="12.75" customHeight="1" hidden="1">
      <c r="A86" s="2" t="s">
        <v>17</v>
      </c>
      <c r="B86" s="259"/>
      <c r="C86" s="259"/>
      <c r="D86" s="259"/>
      <c r="E86" s="5"/>
      <c r="F86" s="259"/>
      <c r="G86" s="259">
        <v>-5420</v>
      </c>
      <c r="H86" s="263">
        <f>SUM(B86:G86)</f>
        <v>-5420</v>
      </c>
      <c r="I86" s="259">
        <v>-2751</v>
      </c>
      <c r="K86" s="261"/>
    </row>
    <row r="87" spans="1:11" ht="12.75" customHeight="1" hidden="1">
      <c r="A87" s="2" t="s">
        <v>7</v>
      </c>
      <c r="B87" s="259"/>
      <c r="C87" s="259"/>
      <c r="D87" s="259"/>
      <c r="E87" s="259">
        <v>176</v>
      </c>
      <c r="F87" s="259"/>
      <c r="G87" s="259">
        <v>-176</v>
      </c>
      <c r="H87" s="263">
        <f>SUM(B87:G87)</f>
        <v>0</v>
      </c>
      <c r="I87" s="259"/>
      <c r="K87" s="261"/>
    </row>
    <row r="88" spans="1:11" ht="12.75" customHeight="1" hidden="1">
      <c r="A88" s="2" t="s">
        <v>199</v>
      </c>
      <c r="B88" s="259"/>
      <c r="C88" s="259"/>
      <c r="D88" s="259">
        <v>10243</v>
      </c>
      <c r="E88" s="259"/>
      <c r="F88" s="259">
        <v>-1026</v>
      </c>
      <c r="G88" s="259"/>
      <c r="H88" s="263">
        <f>SUM(B88:G88)</f>
        <v>9217</v>
      </c>
      <c r="I88" s="259">
        <v>-135</v>
      </c>
      <c r="K88" s="261"/>
    </row>
    <row r="89" spans="1:11" ht="12.75" customHeight="1" hidden="1">
      <c r="A89" s="2" t="s">
        <v>8</v>
      </c>
      <c r="B89" s="259"/>
      <c r="C89" s="259"/>
      <c r="D89" s="5"/>
      <c r="E89" s="259"/>
      <c r="F89" s="259"/>
      <c r="G89" s="259">
        <v>-2937</v>
      </c>
      <c r="H89" s="263">
        <f>SUM(B89:G89)</f>
        <v>-2937</v>
      </c>
      <c r="I89" s="259">
        <v>5321</v>
      </c>
      <c r="K89" s="261"/>
    </row>
    <row r="90" spans="1:11" ht="13.5" customHeight="1" hidden="1" thickBot="1">
      <c r="A90" s="40" t="s">
        <v>232</v>
      </c>
      <c r="B90" s="262">
        <f>SUM(B84:B89)</f>
        <v>14006</v>
      </c>
      <c r="C90" s="262">
        <f>SUM(C84:C89)</f>
        <v>9419</v>
      </c>
      <c r="D90" s="262">
        <f>D78+D88</f>
        <v>84404</v>
      </c>
      <c r="E90" s="262">
        <f>E78+E87</f>
        <v>11588</v>
      </c>
      <c r="F90" s="262">
        <f>F78+F88</f>
        <v>-2081</v>
      </c>
      <c r="G90" s="262">
        <f>G78+G86+G87+G89</f>
        <v>5446</v>
      </c>
      <c r="H90" s="262">
        <f>H78+H86+H88+H89</f>
        <v>122782</v>
      </c>
      <c r="I90" s="262">
        <f>I78+I86+I88+I89</f>
        <v>76457</v>
      </c>
      <c r="K90" s="261"/>
    </row>
    <row r="91" spans="1:11" ht="13.5" customHeight="1" hidden="1" thickTop="1">
      <c r="A91" s="40"/>
      <c r="B91" s="263"/>
      <c r="C91" s="263"/>
      <c r="D91" s="263"/>
      <c r="E91" s="263"/>
      <c r="F91" s="263"/>
      <c r="G91" s="263"/>
      <c r="H91" s="263"/>
      <c r="I91" s="263"/>
      <c r="K91" s="261"/>
    </row>
    <row r="92" spans="1:11" ht="12.75" customHeight="1" hidden="1">
      <c r="A92" s="2" t="s">
        <v>17</v>
      </c>
      <c r="B92" s="263"/>
      <c r="C92" s="263"/>
      <c r="D92" s="259"/>
      <c r="E92" s="259"/>
      <c r="F92" s="259"/>
      <c r="G92" s="259"/>
      <c r="H92" s="263"/>
      <c r="I92" s="259"/>
      <c r="K92" s="261"/>
    </row>
    <row r="93" spans="1:11" ht="12.75" customHeight="1" hidden="1">
      <c r="A93" s="2" t="s">
        <v>199</v>
      </c>
      <c r="B93" s="263"/>
      <c r="C93" s="263"/>
      <c r="D93" s="259"/>
      <c r="E93" s="259"/>
      <c r="F93" s="259"/>
      <c r="G93" s="31"/>
      <c r="H93" s="263"/>
      <c r="I93" s="259"/>
      <c r="K93" s="261"/>
    </row>
    <row r="94" spans="1:11" ht="12.75" customHeight="1" hidden="1">
      <c r="A94" s="2" t="s">
        <v>8</v>
      </c>
      <c r="B94" s="263"/>
      <c r="C94" s="263"/>
      <c r="D94" s="259"/>
      <c r="E94" s="259"/>
      <c r="F94" s="259"/>
      <c r="G94" s="259"/>
      <c r="H94" s="263"/>
      <c r="I94" s="259"/>
      <c r="K94" s="261"/>
    </row>
    <row r="95" spans="1:11" ht="13.5" customHeight="1" hidden="1" thickBot="1">
      <c r="A95" s="40" t="s">
        <v>239</v>
      </c>
      <c r="B95" s="262">
        <f aca="true" t="shared" si="7" ref="B95:G95">SUM(B90:B94)</f>
        <v>14006</v>
      </c>
      <c r="C95" s="262">
        <f t="shared" si="7"/>
        <v>9419</v>
      </c>
      <c r="D95" s="262">
        <f t="shared" si="7"/>
        <v>84404</v>
      </c>
      <c r="E95" s="262">
        <f t="shared" si="7"/>
        <v>11588</v>
      </c>
      <c r="F95" s="262">
        <f t="shared" si="7"/>
        <v>-2081</v>
      </c>
      <c r="G95" s="262">
        <f t="shared" si="7"/>
        <v>5446</v>
      </c>
      <c r="H95" s="262">
        <f>SUM(H90:H94)</f>
        <v>122782</v>
      </c>
      <c r="I95" s="262">
        <f>SUM(I90:I94)</f>
        <v>76457</v>
      </c>
      <c r="K95" s="261"/>
    </row>
    <row r="96" spans="1:11" ht="13.5" customHeight="1" hidden="1" thickTop="1">
      <c r="A96" s="40"/>
      <c r="B96" s="263"/>
      <c r="C96" s="263"/>
      <c r="D96" s="263"/>
      <c r="E96" s="263"/>
      <c r="F96" s="263"/>
      <c r="G96" s="263"/>
      <c r="H96" s="263"/>
      <c r="I96" s="263"/>
      <c r="K96" s="261"/>
    </row>
    <row r="97" spans="1:11" ht="12.75" customHeight="1" hidden="1">
      <c r="A97" s="2" t="s">
        <v>17</v>
      </c>
      <c r="B97" s="259"/>
      <c r="C97" s="259"/>
      <c r="D97" s="259"/>
      <c r="E97" s="259"/>
      <c r="F97" s="259"/>
      <c r="G97" s="259">
        <v>-11329</v>
      </c>
      <c r="H97" s="263">
        <f>SUM(B97:G97)</f>
        <v>-11329</v>
      </c>
      <c r="I97" s="259">
        <v>-4942</v>
      </c>
      <c r="K97" s="261"/>
    </row>
    <row r="98" spans="1:11" ht="12.75" customHeight="1" hidden="1">
      <c r="A98" s="2" t="s">
        <v>7</v>
      </c>
      <c r="B98" s="259"/>
      <c r="C98" s="259"/>
      <c r="D98" s="259"/>
      <c r="E98" s="259"/>
      <c r="F98" s="259"/>
      <c r="G98" s="259"/>
      <c r="H98" s="263">
        <f>SUM(B98:G98)</f>
        <v>0</v>
      </c>
      <c r="I98" s="259"/>
      <c r="K98" s="261"/>
    </row>
    <row r="99" spans="1:11" ht="12.75" customHeight="1" hidden="1">
      <c r="A99" s="2" t="s">
        <v>199</v>
      </c>
      <c r="B99" s="259"/>
      <c r="C99" s="259"/>
      <c r="D99" s="259">
        <v>-189</v>
      </c>
      <c r="E99" s="259">
        <v>398</v>
      </c>
      <c r="F99" s="259">
        <v>164</v>
      </c>
      <c r="G99" s="259">
        <v>-398</v>
      </c>
      <c r="H99" s="263">
        <f>SUM(B99:G99)</f>
        <v>-25</v>
      </c>
      <c r="I99" s="259">
        <v>-334</v>
      </c>
      <c r="K99" s="261"/>
    </row>
    <row r="100" spans="1:11" ht="12.75" customHeight="1" hidden="1">
      <c r="A100" s="2" t="s">
        <v>8</v>
      </c>
      <c r="B100" s="259"/>
      <c r="C100" s="259"/>
      <c r="D100" s="259">
        <v>-1825</v>
      </c>
      <c r="E100" s="259">
        <v>4</v>
      </c>
      <c r="F100" s="259"/>
      <c r="G100" s="259">
        <v>1687</v>
      </c>
      <c r="H100" s="263">
        <f>SUM(B100:G100)</f>
        <v>-134</v>
      </c>
      <c r="I100" s="259">
        <v>-545</v>
      </c>
      <c r="K100" s="261"/>
    </row>
    <row r="101" spans="1:11" ht="13.5" customHeight="1" hidden="1" thickBot="1">
      <c r="A101" s="40" t="s">
        <v>236</v>
      </c>
      <c r="B101" s="262">
        <f>SUM(B95:B100)</f>
        <v>14006</v>
      </c>
      <c r="C101" s="262">
        <f aca="true" t="shared" si="8" ref="C101:I101">SUM(C95:C100)</f>
        <v>9419</v>
      </c>
      <c r="D101" s="262">
        <f t="shared" si="8"/>
        <v>82390</v>
      </c>
      <c r="E101" s="262">
        <f t="shared" si="8"/>
        <v>11990</v>
      </c>
      <c r="F101" s="262">
        <f t="shared" si="8"/>
        <v>-1917</v>
      </c>
      <c r="G101" s="262">
        <f t="shared" si="8"/>
        <v>-4594</v>
      </c>
      <c r="H101" s="262">
        <f t="shared" si="8"/>
        <v>111294</v>
      </c>
      <c r="I101" s="262">
        <f t="shared" si="8"/>
        <v>70636</v>
      </c>
      <c r="K101" s="261"/>
    </row>
    <row r="102" spans="1:11" ht="13.5" customHeight="1" hidden="1" thickTop="1">
      <c r="A102" s="40"/>
      <c r="B102" s="263"/>
      <c r="C102" s="263"/>
      <c r="D102" s="263"/>
      <c r="E102" s="263"/>
      <c r="F102" s="263"/>
      <c r="G102" s="263"/>
      <c r="H102" s="263"/>
      <c r="I102" s="263"/>
      <c r="K102" s="261"/>
    </row>
    <row r="103" spans="1:11" ht="12.75" customHeight="1" hidden="1">
      <c r="A103" s="5" t="s">
        <v>241</v>
      </c>
      <c r="B103" s="259">
        <v>4730</v>
      </c>
      <c r="C103" s="259">
        <v>2270</v>
      </c>
      <c r="D103" s="259"/>
      <c r="E103" s="259"/>
      <c r="F103" s="259"/>
      <c r="G103" s="259"/>
      <c r="H103" s="263">
        <f>SUM(B103:G103)</f>
        <v>7000</v>
      </c>
      <c r="I103" s="259"/>
      <c r="K103" s="261"/>
    </row>
    <row r="104" spans="1:11" ht="12.75" customHeight="1" hidden="1">
      <c r="A104" s="2" t="s">
        <v>17</v>
      </c>
      <c r="B104" s="259"/>
      <c r="C104" s="259"/>
      <c r="D104" s="259"/>
      <c r="E104" s="259"/>
      <c r="F104" s="259"/>
      <c r="G104" s="259">
        <v>-10072</v>
      </c>
      <c r="H104" s="263">
        <f>SUM(B104:G104)</f>
        <v>-10072</v>
      </c>
      <c r="I104" s="259">
        <v>-6483</v>
      </c>
      <c r="K104" s="261"/>
    </row>
    <row r="105" spans="1:11" ht="12.75" customHeight="1" hidden="1">
      <c r="A105" s="2" t="s">
        <v>7</v>
      </c>
      <c r="B105" s="259"/>
      <c r="C105" s="259"/>
      <c r="D105" s="259"/>
      <c r="E105" s="259">
        <v>834</v>
      </c>
      <c r="F105" s="259"/>
      <c r="G105" s="259">
        <v>-834</v>
      </c>
      <c r="H105" s="263">
        <f>SUM(B105:G105)</f>
        <v>0</v>
      </c>
      <c r="I105" s="259"/>
      <c r="K105" s="261"/>
    </row>
    <row r="106" spans="1:11" ht="12.75" customHeight="1" hidden="1">
      <c r="A106" s="2" t="s">
        <v>199</v>
      </c>
      <c r="B106" s="259"/>
      <c r="C106" s="259"/>
      <c r="D106" s="259">
        <v>-7839</v>
      </c>
      <c r="E106" s="259"/>
      <c r="F106" s="259">
        <v>-472</v>
      </c>
      <c r="G106" s="259"/>
      <c r="H106" s="263">
        <f>SUM(B106:G106)</f>
        <v>-8311</v>
      </c>
      <c r="I106" s="259">
        <v>-6726</v>
      </c>
      <c r="K106" s="261"/>
    </row>
    <row r="107" spans="1:11" ht="12.75" customHeight="1" hidden="1">
      <c r="A107" s="2" t="s">
        <v>8</v>
      </c>
      <c r="B107" s="259"/>
      <c r="C107" s="259"/>
      <c r="D107" s="259">
        <v>-20765</v>
      </c>
      <c r="E107" s="259">
        <v>3</v>
      </c>
      <c r="F107" s="259">
        <v>668</v>
      </c>
      <c r="G107" s="259">
        <v>10844</v>
      </c>
      <c r="H107" s="263">
        <f>SUM(B107:G107)</f>
        <v>-9250</v>
      </c>
      <c r="I107" s="259">
        <v>-8036</v>
      </c>
      <c r="K107" s="261"/>
    </row>
    <row r="108" spans="1:11" ht="13.5" customHeight="1" hidden="1" thickBot="1">
      <c r="A108" s="40" t="s">
        <v>242</v>
      </c>
      <c r="B108" s="262">
        <f>SUM(B101:B107)</f>
        <v>18736</v>
      </c>
      <c r="C108" s="262">
        <f aca="true" t="shared" si="9" ref="C108:I108">SUM(C101:C107)</f>
        <v>11689</v>
      </c>
      <c r="D108" s="262">
        <f t="shared" si="9"/>
        <v>53786</v>
      </c>
      <c r="E108" s="262">
        <f t="shared" si="9"/>
        <v>12827</v>
      </c>
      <c r="F108" s="262">
        <f t="shared" si="9"/>
        <v>-1721</v>
      </c>
      <c r="G108" s="262">
        <f t="shared" si="9"/>
        <v>-4656</v>
      </c>
      <c r="H108" s="262">
        <f t="shared" si="9"/>
        <v>90661</v>
      </c>
      <c r="I108" s="262">
        <f t="shared" si="9"/>
        <v>49391</v>
      </c>
      <c r="K108" s="261"/>
    </row>
    <row r="109" spans="1:11" ht="13.5" customHeight="1" hidden="1" thickTop="1">
      <c r="A109" s="5"/>
      <c r="B109" s="263"/>
      <c r="C109" s="263"/>
      <c r="D109" s="263"/>
      <c r="E109" s="263"/>
      <c r="F109" s="263"/>
      <c r="G109" s="263"/>
      <c r="H109" s="263"/>
      <c r="I109" s="263"/>
      <c r="K109" s="261"/>
    </row>
    <row r="110" spans="1:11" ht="12.75" customHeight="1" hidden="1">
      <c r="A110" s="2" t="s">
        <v>17</v>
      </c>
      <c r="B110" s="259"/>
      <c r="C110" s="259"/>
      <c r="D110" s="259"/>
      <c r="E110" s="259"/>
      <c r="F110" s="259"/>
      <c r="G110" s="259"/>
      <c r="H110" s="263">
        <f>SUM(B110:G110)</f>
        <v>0</v>
      </c>
      <c r="I110" s="259"/>
      <c r="K110" s="261"/>
    </row>
    <row r="111" spans="1:11" ht="12.75" customHeight="1" hidden="1">
      <c r="A111" s="2" t="s">
        <v>199</v>
      </c>
      <c r="B111" s="259"/>
      <c r="C111" s="259"/>
      <c r="D111" s="259"/>
      <c r="E111" s="259"/>
      <c r="F111" s="259"/>
      <c r="G111" s="259"/>
      <c r="H111" s="263">
        <f>SUM(B111:G111)</f>
        <v>0</v>
      </c>
      <c r="I111" s="259"/>
      <c r="K111" s="261"/>
    </row>
    <row r="112" spans="1:11" ht="12.75" customHeight="1" hidden="1">
      <c r="A112" s="2" t="s">
        <v>243</v>
      </c>
      <c r="B112" s="259"/>
      <c r="C112" s="259"/>
      <c r="D112" s="259"/>
      <c r="E112" s="259"/>
      <c r="F112" s="259"/>
      <c r="G112" s="259"/>
      <c r="H112" s="263">
        <f>SUM(B112:G112)</f>
        <v>0</v>
      </c>
      <c r="I112" s="259"/>
      <c r="K112" s="261"/>
    </row>
    <row r="113" spans="1:11" ht="12.75" customHeight="1" hidden="1">
      <c r="A113" s="2" t="s">
        <v>8</v>
      </c>
      <c r="B113" s="259"/>
      <c r="C113" s="259"/>
      <c r="D113" s="259"/>
      <c r="E113" s="259"/>
      <c r="F113" s="259"/>
      <c r="G113" s="259"/>
      <c r="H113" s="263">
        <f>SUM(B113:G113)</f>
        <v>0</v>
      </c>
      <c r="I113" s="259"/>
      <c r="K113" s="261"/>
    </row>
    <row r="114" spans="1:11" ht="13.5" customHeight="1" hidden="1" thickBot="1">
      <c r="A114" s="40" t="s">
        <v>251</v>
      </c>
      <c r="B114" s="262">
        <f>SUM(B108:B113)</f>
        <v>18736</v>
      </c>
      <c r="C114" s="262">
        <f aca="true" t="shared" si="10" ref="C114:I114">SUM(C108:C113)</f>
        <v>11689</v>
      </c>
      <c r="D114" s="262">
        <f t="shared" si="10"/>
        <v>53786</v>
      </c>
      <c r="E114" s="262">
        <f t="shared" si="10"/>
        <v>12827</v>
      </c>
      <c r="F114" s="262">
        <f t="shared" si="10"/>
        <v>-1721</v>
      </c>
      <c r="G114" s="262">
        <f t="shared" si="10"/>
        <v>-4656</v>
      </c>
      <c r="H114" s="262">
        <f t="shared" si="10"/>
        <v>90661</v>
      </c>
      <c r="I114" s="262">
        <f t="shared" si="10"/>
        <v>49391</v>
      </c>
      <c r="K114" s="261"/>
    </row>
    <row r="115" spans="1:11" ht="13.5" customHeight="1" hidden="1" thickTop="1">
      <c r="A115" s="40"/>
      <c r="B115" s="263"/>
      <c r="C115" s="263"/>
      <c r="D115" s="263"/>
      <c r="E115" s="263"/>
      <c r="F115" s="263"/>
      <c r="G115" s="263"/>
      <c r="H115" s="263"/>
      <c r="I115" s="263"/>
      <c r="K115" s="261"/>
    </row>
    <row r="116" spans="1:11" ht="12.75" customHeight="1" hidden="1">
      <c r="A116" s="2" t="s">
        <v>17</v>
      </c>
      <c r="B116" s="259"/>
      <c r="C116" s="259"/>
      <c r="D116" s="259"/>
      <c r="E116" s="259"/>
      <c r="F116" s="259"/>
      <c r="G116" s="259">
        <v>-4269</v>
      </c>
      <c r="H116" s="263">
        <f>SUM(B116:G116)</f>
        <v>-4269</v>
      </c>
      <c r="I116" s="259">
        <v>-2363</v>
      </c>
      <c r="K116" s="261"/>
    </row>
    <row r="117" spans="1:11" ht="12.75" customHeight="1" hidden="1">
      <c r="A117" s="2" t="s">
        <v>199</v>
      </c>
      <c r="B117" s="259"/>
      <c r="C117" s="259"/>
      <c r="D117" s="259">
        <v>-6827</v>
      </c>
      <c r="E117" s="259"/>
      <c r="F117" s="259">
        <v>9</v>
      </c>
      <c r="G117" s="259"/>
      <c r="H117" s="263">
        <f>SUM(B117:G117)</f>
        <v>-6818</v>
      </c>
      <c r="I117" s="259">
        <v>-1203</v>
      </c>
      <c r="K117" s="261"/>
    </row>
    <row r="118" spans="1:11" ht="12.75" customHeight="1" hidden="1">
      <c r="A118" s="2" t="s">
        <v>243</v>
      </c>
      <c r="B118" s="259"/>
      <c r="C118" s="259"/>
      <c r="D118" s="259">
        <v>93</v>
      </c>
      <c r="E118" s="259"/>
      <c r="F118" s="259"/>
      <c r="G118" s="259"/>
      <c r="H118" s="263">
        <f>SUM(B118:G118)</f>
        <v>93</v>
      </c>
      <c r="I118" s="259">
        <v>188</v>
      </c>
      <c r="K118" s="261"/>
    </row>
    <row r="119" spans="1:11" ht="12.75" customHeight="1" hidden="1">
      <c r="A119" s="2" t="s">
        <v>8</v>
      </c>
      <c r="B119" s="259"/>
      <c r="C119" s="259"/>
      <c r="D119" s="259">
        <v>-1283</v>
      </c>
      <c r="E119" s="259"/>
      <c r="F119" s="259">
        <v>622</v>
      </c>
      <c r="G119" s="259">
        <v>-5757</v>
      </c>
      <c r="H119" s="263">
        <f>SUM(B119:G119)</f>
        <v>-6418</v>
      </c>
      <c r="I119" s="259">
        <v>-3389</v>
      </c>
      <c r="K119" s="261"/>
    </row>
    <row r="120" spans="1:11" ht="13.5" customHeight="1" hidden="1" thickBot="1">
      <c r="A120" s="40" t="s">
        <v>249</v>
      </c>
      <c r="B120" s="262">
        <f aca="true" t="shared" si="11" ref="B120:I120">SUM(B114:B119)</f>
        <v>18736</v>
      </c>
      <c r="C120" s="262">
        <f t="shared" si="11"/>
        <v>11689</v>
      </c>
      <c r="D120" s="262">
        <f t="shared" si="11"/>
        <v>45769</v>
      </c>
      <c r="E120" s="262">
        <f t="shared" si="11"/>
        <v>12827</v>
      </c>
      <c r="F120" s="262">
        <f t="shared" si="11"/>
        <v>-1090</v>
      </c>
      <c r="G120" s="262">
        <f t="shared" si="11"/>
        <v>-14682</v>
      </c>
      <c r="H120" s="262">
        <f t="shared" si="11"/>
        <v>73249</v>
      </c>
      <c r="I120" s="262">
        <f t="shared" si="11"/>
        <v>42624</v>
      </c>
      <c r="K120" s="261"/>
    </row>
    <row r="121" spans="1:11" ht="14.25" customHeight="1" hidden="1" thickTop="1">
      <c r="A121" s="40"/>
      <c r="B121" s="263"/>
      <c r="C121" s="263"/>
      <c r="D121" s="263"/>
      <c r="E121" s="263"/>
      <c r="F121" s="263"/>
      <c r="G121" s="263"/>
      <c r="H121" s="263"/>
      <c r="I121" s="263"/>
      <c r="K121" s="261"/>
    </row>
    <row r="122" spans="1:11" ht="12.75" customHeight="1" hidden="1">
      <c r="A122" s="2" t="s">
        <v>17</v>
      </c>
      <c r="B122" s="263"/>
      <c r="C122" s="263"/>
      <c r="D122" s="263"/>
      <c r="E122" s="259"/>
      <c r="F122" s="263"/>
      <c r="G122" s="259"/>
      <c r="H122" s="263">
        <f>SUM(B122:G122)</f>
        <v>0</v>
      </c>
      <c r="I122" s="259"/>
      <c r="K122" s="261"/>
    </row>
    <row r="123" spans="1:11" ht="14.25" customHeight="1" hidden="1">
      <c r="A123" s="2" t="s">
        <v>199</v>
      </c>
      <c r="B123" s="263"/>
      <c r="C123" s="263"/>
      <c r="D123" s="263"/>
      <c r="E123" s="263"/>
      <c r="F123" s="259"/>
      <c r="G123" s="263"/>
      <c r="H123" s="263">
        <f>SUM(B123:G123)</f>
        <v>0</v>
      </c>
      <c r="I123" s="259"/>
      <c r="K123" s="261"/>
    </row>
    <row r="124" spans="1:11" ht="14.25" customHeight="1" hidden="1">
      <c r="A124" s="2" t="s">
        <v>8</v>
      </c>
      <c r="B124" s="263"/>
      <c r="C124" s="263"/>
      <c r="D124" s="259"/>
      <c r="E124" s="259"/>
      <c r="F124" s="259"/>
      <c r="G124" s="259"/>
      <c r="H124" s="263">
        <f>SUM(B124:G124)</f>
        <v>0</v>
      </c>
      <c r="I124" s="259"/>
      <c r="K124" s="261"/>
    </row>
    <row r="125" spans="1:11" ht="13.5" customHeight="1" hidden="1" thickBot="1">
      <c r="A125" s="40" t="s">
        <v>258</v>
      </c>
      <c r="B125" s="262">
        <f>SUM(B120:B124)</f>
        <v>18736</v>
      </c>
      <c r="C125" s="262">
        <f aca="true" t="shared" si="12" ref="C125:I125">SUM(C120:C124)</f>
        <v>11689</v>
      </c>
      <c r="D125" s="262">
        <f t="shared" si="12"/>
        <v>45769</v>
      </c>
      <c r="E125" s="262">
        <f t="shared" si="12"/>
        <v>12827</v>
      </c>
      <c r="F125" s="262">
        <f t="shared" si="12"/>
        <v>-1090</v>
      </c>
      <c r="G125" s="262">
        <f t="shared" si="12"/>
        <v>-14682</v>
      </c>
      <c r="H125" s="262">
        <f t="shared" si="12"/>
        <v>73249</v>
      </c>
      <c r="I125" s="262">
        <f t="shared" si="12"/>
        <v>42624</v>
      </c>
      <c r="K125" s="261"/>
    </row>
    <row r="126" spans="1:11" ht="13.5" customHeight="1" hidden="1" thickTop="1">
      <c r="A126" s="40"/>
      <c r="B126" s="263"/>
      <c r="C126" s="263"/>
      <c r="D126" s="263"/>
      <c r="E126" s="263"/>
      <c r="F126" s="263"/>
      <c r="G126" s="263"/>
      <c r="H126" s="263"/>
      <c r="I126" s="263"/>
      <c r="K126" s="261"/>
    </row>
    <row r="127" spans="1:11" ht="12.75" customHeight="1" hidden="1">
      <c r="A127" s="2" t="s">
        <v>17</v>
      </c>
      <c r="B127" s="263"/>
      <c r="C127" s="263"/>
      <c r="D127" s="263"/>
      <c r="E127" s="259">
        <v>75</v>
      </c>
      <c r="F127" s="263"/>
      <c r="G127" s="259">
        <v>720</v>
      </c>
      <c r="H127" s="263">
        <f>SUM(B127:G127)</f>
        <v>795</v>
      </c>
      <c r="I127" s="259">
        <v>-492</v>
      </c>
      <c r="K127" s="261"/>
    </row>
    <row r="128" spans="1:11" ht="12.75" customHeight="1" hidden="1">
      <c r="A128" s="2" t="s">
        <v>199</v>
      </c>
      <c r="B128" s="263"/>
      <c r="C128" s="263"/>
      <c r="D128" s="259">
        <v>-649</v>
      </c>
      <c r="E128" s="263"/>
      <c r="F128" s="259"/>
      <c r="G128" s="263"/>
      <c r="H128" s="263">
        <f>SUM(B128:G128)</f>
        <v>-649</v>
      </c>
      <c r="I128" s="259">
        <v>-237</v>
      </c>
      <c r="K128" s="261"/>
    </row>
    <row r="129" spans="1:11" ht="12.75" customHeight="1" hidden="1">
      <c r="A129" s="2" t="s">
        <v>243</v>
      </c>
      <c r="B129" s="263"/>
      <c r="C129" s="263"/>
      <c r="D129" s="259">
        <v>66</v>
      </c>
      <c r="E129" s="263"/>
      <c r="F129" s="259"/>
      <c r="G129" s="263"/>
      <c r="H129" s="263">
        <f>SUM(B129:G129)</f>
        <v>66</v>
      </c>
      <c r="I129" s="259">
        <v>24</v>
      </c>
      <c r="K129" s="261"/>
    </row>
    <row r="130" spans="1:11" ht="12.75" customHeight="1" hidden="1">
      <c r="A130" s="2" t="s">
        <v>8</v>
      </c>
      <c r="B130" s="263"/>
      <c r="C130" s="263"/>
      <c r="D130" s="259">
        <v>-6016</v>
      </c>
      <c r="E130" s="263"/>
      <c r="F130" s="259">
        <v>1090</v>
      </c>
      <c r="G130" s="259">
        <v>12015</v>
      </c>
      <c r="H130" s="263">
        <f>SUM(B130:G130)</f>
        <v>7089</v>
      </c>
      <c r="I130" s="259">
        <v>-10920</v>
      </c>
      <c r="K130" s="261"/>
    </row>
    <row r="131" spans="1:11" ht="13.5" customHeight="1" hidden="1" thickBot="1">
      <c r="A131" s="40" t="s">
        <v>254</v>
      </c>
      <c r="B131" s="262">
        <f>SUM(B125:B130)</f>
        <v>18736</v>
      </c>
      <c r="C131" s="262">
        <f aca="true" t="shared" si="13" ref="C131:I131">SUM(C125:C130)</f>
        <v>11689</v>
      </c>
      <c r="D131" s="262">
        <f t="shared" si="13"/>
        <v>39170</v>
      </c>
      <c r="E131" s="262">
        <f t="shared" si="13"/>
        <v>12902</v>
      </c>
      <c r="F131" s="262">
        <f t="shared" si="13"/>
        <v>0</v>
      </c>
      <c r="G131" s="262">
        <f t="shared" si="13"/>
        <v>-1947</v>
      </c>
      <c r="H131" s="262">
        <f t="shared" si="13"/>
        <v>80550</v>
      </c>
      <c r="I131" s="262">
        <f t="shared" si="13"/>
        <v>30999</v>
      </c>
      <c r="K131" s="261"/>
    </row>
    <row r="132" spans="1:11" ht="13.5" customHeight="1" hidden="1" thickTop="1">
      <c r="A132" s="40"/>
      <c r="B132" s="263"/>
      <c r="C132" s="263"/>
      <c r="D132" s="263"/>
      <c r="E132" s="263"/>
      <c r="F132" s="263"/>
      <c r="G132" s="263"/>
      <c r="H132" s="263"/>
      <c r="I132" s="263"/>
      <c r="K132" s="261"/>
    </row>
    <row r="133" spans="1:11" ht="12.75" customHeight="1" hidden="1">
      <c r="A133" s="2" t="s">
        <v>17</v>
      </c>
      <c r="B133" s="263"/>
      <c r="C133" s="263"/>
      <c r="D133" s="263"/>
      <c r="E133" s="263"/>
      <c r="F133" s="263"/>
      <c r="G133" s="259"/>
      <c r="H133" s="263">
        <f>SUM(B133:G133)</f>
        <v>0</v>
      </c>
      <c r="I133" s="259"/>
      <c r="K133" s="261"/>
    </row>
    <row r="134" spans="1:11" ht="12.75" customHeight="1" hidden="1">
      <c r="A134" s="2" t="s">
        <v>199</v>
      </c>
      <c r="B134" s="263"/>
      <c r="C134" s="263"/>
      <c r="D134" s="259"/>
      <c r="E134" s="263"/>
      <c r="F134" s="263"/>
      <c r="G134" s="263"/>
      <c r="H134" s="263">
        <f>SUM(B134:G134)</f>
        <v>0</v>
      </c>
      <c r="I134" s="263"/>
      <c r="K134" s="261"/>
    </row>
    <row r="135" spans="1:11" ht="12.75" customHeight="1" hidden="1">
      <c r="A135" s="2" t="s">
        <v>243</v>
      </c>
      <c r="B135" s="263"/>
      <c r="C135" s="263"/>
      <c r="D135" s="259"/>
      <c r="E135" s="263"/>
      <c r="F135" s="263"/>
      <c r="G135" s="263"/>
      <c r="H135" s="263">
        <f>SUM(B135:G135)</f>
        <v>0</v>
      </c>
      <c r="I135" s="263"/>
      <c r="K135" s="261"/>
    </row>
    <row r="136" spans="1:11" ht="12.75" customHeight="1" hidden="1">
      <c r="A136" s="2" t="s">
        <v>8</v>
      </c>
      <c r="B136" s="263"/>
      <c r="C136" s="263"/>
      <c r="D136" s="259"/>
      <c r="E136" s="263"/>
      <c r="F136" s="263"/>
      <c r="G136" s="263"/>
      <c r="H136" s="263">
        <f>SUM(B136:G136)</f>
        <v>0</v>
      </c>
      <c r="I136" s="259"/>
      <c r="K136" s="261"/>
    </row>
    <row r="137" spans="1:11" ht="13.5" customHeight="1" hidden="1" thickBot="1">
      <c r="A137" s="40" t="s">
        <v>266</v>
      </c>
      <c r="B137" s="262">
        <f>SUM(B131:B136)</f>
        <v>18736</v>
      </c>
      <c r="C137" s="262">
        <f aca="true" t="shared" si="14" ref="C137:I137">SUM(C131:C136)</f>
        <v>11689</v>
      </c>
      <c r="D137" s="262">
        <f t="shared" si="14"/>
        <v>39170</v>
      </c>
      <c r="E137" s="262">
        <f t="shared" si="14"/>
        <v>12902</v>
      </c>
      <c r="F137" s="262">
        <f t="shared" si="14"/>
        <v>0</v>
      </c>
      <c r="G137" s="262">
        <f t="shared" si="14"/>
        <v>-1947</v>
      </c>
      <c r="H137" s="262">
        <f t="shared" si="14"/>
        <v>80550</v>
      </c>
      <c r="I137" s="262">
        <f t="shared" si="14"/>
        <v>30999</v>
      </c>
      <c r="K137" s="261"/>
    </row>
    <row r="138" spans="1:11" ht="13.5" customHeight="1" hidden="1" thickTop="1">
      <c r="A138" s="2"/>
      <c r="B138" s="263"/>
      <c r="C138" s="263"/>
      <c r="D138" s="263"/>
      <c r="E138" s="263"/>
      <c r="F138" s="263"/>
      <c r="G138" s="263"/>
      <c r="H138" s="263"/>
      <c r="I138" s="263"/>
      <c r="K138" s="261"/>
    </row>
    <row r="139" spans="1:11" ht="12.75" customHeight="1" hidden="1">
      <c r="A139" s="2" t="s">
        <v>17</v>
      </c>
      <c r="B139" s="259"/>
      <c r="C139" s="259"/>
      <c r="D139" s="259"/>
      <c r="E139" s="259"/>
      <c r="F139" s="259"/>
      <c r="G139" s="259">
        <v>-157</v>
      </c>
      <c r="H139" s="263">
        <f>SUM(B139:G139)</f>
        <v>-157</v>
      </c>
      <c r="I139" s="259">
        <v>2574</v>
      </c>
      <c r="K139" s="261"/>
    </row>
    <row r="140" spans="1:11" ht="12.75" customHeight="1" hidden="1">
      <c r="A140" s="2" t="s">
        <v>199</v>
      </c>
      <c r="B140" s="259"/>
      <c r="C140" s="5"/>
      <c r="D140" s="259">
        <v>-3351</v>
      </c>
      <c r="E140" s="259"/>
      <c r="F140" s="259"/>
      <c r="G140" s="259"/>
      <c r="H140" s="263">
        <f>SUM(B140:G140)</f>
        <v>-3351</v>
      </c>
      <c r="I140" s="259">
        <v>-1186</v>
      </c>
      <c r="K140" s="261"/>
    </row>
    <row r="141" spans="1:11" ht="12.75" customHeight="1" hidden="1">
      <c r="A141" s="2" t="s">
        <v>243</v>
      </c>
      <c r="B141" s="259"/>
      <c r="C141" s="5"/>
      <c r="D141" s="259">
        <v>349</v>
      </c>
      <c r="E141" s="259"/>
      <c r="F141" s="259"/>
      <c r="G141" s="259"/>
      <c r="H141" s="263">
        <f>SUM(B141:G141)</f>
        <v>349</v>
      </c>
      <c r="I141" s="259">
        <v>119</v>
      </c>
      <c r="K141" s="261"/>
    </row>
    <row r="142" spans="1:11" ht="12.75" customHeight="1" hidden="1">
      <c r="A142" s="2"/>
      <c r="B142" s="264" t="s">
        <v>302</v>
      </c>
      <c r="C142" s="264" t="s">
        <v>302</v>
      </c>
      <c r="D142" s="264" t="s">
        <v>302</v>
      </c>
      <c r="E142" s="264" t="s">
        <v>302</v>
      </c>
      <c r="F142" s="259"/>
      <c r="G142" s="264" t="s">
        <v>302</v>
      </c>
      <c r="H142" s="264" t="s">
        <v>302</v>
      </c>
      <c r="I142" s="264" t="s">
        <v>302</v>
      </c>
      <c r="J142" s="307" t="s">
        <v>302</v>
      </c>
      <c r="K142" s="261"/>
    </row>
    <row r="143" spans="1:11" ht="12.75" customHeight="1" hidden="1">
      <c r="A143" s="2" t="s">
        <v>8</v>
      </c>
      <c r="B143" s="259"/>
      <c r="C143" s="5"/>
      <c r="D143" s="259">
        <v>-2328</v>
      </c>
      <c r="E143" s="259">
        <v>1</v>
      </c>
      <c r="F143" s="259"/>
      <c r="G143" s="259">
        <v>-4968</v>
      </c>
      <c r="H143" s="263">
        <f>SUM(B143:G143)</f>
        <v>-7295</v>
      </c>
      <c r="I143" s="259">
        <v>-6936</v>
      </c>
      <c r="K143" s="261"/>
    </row>
    <row r="144" spans="1:11" ht="13.5" customHeight="1" hidden="1" thickBot="1">
      <c r="A144" s="40" t="s">
        <v>261</v>
      </c>
      <c r="B144" s="262">
        <f>SUM(B137:B143)</f>
        <v>18736</v>
      </c>
      <c r="C144" s="262">
        <f aca="true" t="shared" si="15" ref="C144:I144">SUM(C137:C143)</f>
        <v>11689</v>
      </c>
      <c r="D144" s="262">
        <f t="shared" si="15"/>
        <v>33840</v>
      </c>
      <c r="E144" s="262">
        <f t="shared" si="15"/>
        <v>12903</v>
      </c>
      <c r="F144" s="262">
        <f t="shared" si="15"/>
        <v>0</v>
      </c>
      <c r="G144" s="262">
        <f t="shared" si="15"/>
        <v>-7072</v>
      </c>
      <c r="H144" s="262">
        <f t="shared" si="15"/>
        <v>70096</v>
      </c>
      <c r="I144" s="262">
        <f t="shared" si="15"/>
        <v>25570</v>
      </c>
      <c r="J144" s="308">
        <f>H144+I144</f>
        <v>95666</v>
      </c>
      <c r="K144" s="261"/>
    </row>
    <row r="145" spans="1:11" ht="13.5" customHeight="1" hidden="1" thickTop="1">
      <c r="A145" s="40"/>
      <c r="B145" s="263"/>
      <c r="C145" s="263"/>
      <c r="D145" s="263"/>
      <c r="E145" s="263"/>
      <c r="F145" s="263"/>
      <c r="G145" s="263"/>
      <c r="H145" s="263"/>
      <c r="I145" s="263"/>
      <c r="J145" s="309">
        <f aca="true" t="shared" si="16" ref="J145:J153">H145+I145</f>
        <v>0</v>
      </c>
      <c r="K145" s="261"/>
    </row>
    <row r="146" spans="1:11" ht="12.75" customHeight="1" hidden="1">
      <c r="A146" s="2" t="s">
        <v>17</v>
      </c>
      <c r="B146" s="259"/>
      <c r="C146" s="259"/>
      <c r="D146" s="259"/>
      <c r="E146" s="259"/>
      <c r="F146" s="259"/>
      <c r="G146" s="259"/>
      <c r="H146" s="263">
        <f>SUM(B146:G146)</f>
        <v>0</v>
      </c>
      <c r="I146" s="259"/>
      <c r="J146" s="309">
        <f t="shared" si="16"/>
        <v>0</v>
      </c>
      <c r="K146" s="261"/>
    </row>
    <row r="147" spans="1:11" ht="12.75" customHeight="1" hidden="1">
      <c r="A147" s="2" t="s">
        <v>8</v>
      </c>
      <c r="B147" s="259"/>
      <c r="C147" s="259"/>
      <c r="D147" s="259"/>
      <c r="E147" s="259"/>
      <c r="F147" s="259"/>
      <c r="G147" s="259"/>
      <c r="H147" s="263">
        <f>SUM(B147:G147)</f>
        <v>0</v>
      </c>
      <c r="I147" s="259"/>
      <c r="J147" s="309">
        <f t="shared" si="16"/>
        <v>0</v>
      </c>
      <c r="K147" s="261"/>
    </row>
    <row r="148" spans="1:11" ht="13.5" customHeight="1" hidden="1" thickBot="1">
      <c r="A148" s="40" t="s">
        <v>274</v>
      </c>
      <c r="B148" s="262">
        <f>SUM(B144:B147)</f>
        <v>18736</v>
      </c>
      <c r="C148" s="262">
        <f aca="true" t="shared" si="17" ref="C148:I148">SUM(C144:C147)</f>
        <v>11689</v>
      </c>
      <c r="D148" s="262">
        <f t="shared" si="17"/>
        <v>33840</v>
      </c>
      <c r="E148" s="262">
        <f t="shared" si="17"/>
        <v>12903</v>
      </c>
      <c r="F148" s="262">
        <f t="shared" si="17"/>
        <v>0</v>
      </c>
      <c r="G148" s="262">
        <f t="shared" si="17"/>
        <v>-7072</v>
      </c>
      <c r="H148" s="262">
        <f t="shared" si="17"/>
        <v>70096</v>
      </c>
      <c r="I148" s="262">
        <f t="shared" si="17"/>
        <v>25570</v>
      </c>
      <c r="J148" s="309">
        <f t="shared" si="16"/>
        <v>95666</v>
      </c>
      <c r="K148" s="261"/>
    </row>
    <row r="149" spans="1:11" ht="13.5" customHeight="1" hidden="1" thickTop="1">
      <c r="A149" s="40"/>
      <c r="B149" s="263"/>
      <c r="C149" s="263"/>
      <c r="D149" s="263"/>
      <c r="E149" s="263"/>
      <c r="F149" s="263"/>
      <c r="G149" s="263"/>
      <c r="H149" s="263"/>
      <c r="I149" s="263"/>
      <c r="J149" s="309">
        <f t="shared" si="16"/>
        <v>0</v>
      </c>
      <c r="K149" s="261"/>
    </row>
    <row r="150" spans="1:11" ht="12.75" customHeight="1" hidden="1">
      <c r="A150" s="2" t="s">
        <v>17</v>
      </c>
      <c r="B150" s="259"/>
      <c r="C150" s="259">
        <v>-5527</v>
      </c>
      <c r="D150" s="259"/>
      <c r="E150" s="259"/>
      <c r="F150" s="259"/>
      <c r="G150" s="259">
        <v>6387</v>
      </c>
      <c r="H150" s="263">
        <f>SUM(B150:G150)</f>
        <v>860</v>
      </c>
      <c r="I150" s="259">
        <v>2714</v>
      </c>
      <c r="J150" s="309">
        <f t="shared" si="16"/>
        <v>3574</v>
      </c>
      <c r="K150" s="261"/>
    </row>
    <row r="151" spans="1:11" ht="12.75" customHeight="1" hidden="1">
      <c r="A151" s="2" t="s">
        <v>199</v>
      </c>
      <c r="B151" s="259"/>
      <c r="C151" s="259"/>
      <c r="D151" s="259">
        <v>1304</v>
      </c>
      <c r="E151" s="259"/>
      <c r="F151" s="259"/>
      <c r="G151" s="259"/>
      <c r="H151" s="263">
        <f>SUM(B151:G151)</f>
        <v>1304</v>
      </c>
      <c r="I151" s="259">
        <v>-75</v>
      </c>
      <c r="J151" s="309">
        <f t="shared" si="16"/>
        <v>1229</v>
      </c>
      <c r="K151" s="261"/>
    </row>
    <row r="152" spans="1:11" ht="12.75" customHeight="1" hidden="1">
      <c r="A152" s="2" t="s">
        <v>243</v>
      </c>
      <c r="B152" s="259"/>
      <c r="C152" s="259"/>
      <c r="D152" s="259">
        <v>-82</v>
      </c>
      <c r="E152" s="259"/>
      <c r="F152" s="259"/>
      <c r="G152" s="259"/>
      <c r="H152" s="263">
        <f>SUM(B152:G152)</f>
        <v>-82</v>
      </c>
      <c r="I152" s="259">
        <v>-6</v>
      </c>
      <c r="J152" s="309">
        <f t="shared" si="16"/>
        <v>-88</v>
      </c>
      <c r="K152" s="261"/>
    </row>
    <row r="153" spans="1:11" ht="12.75" customHeight="1" hidden="1">
      <c r="A153" s="2" t="s">
        <v>8</v>
      </c>
      <c r="B153" s="259"/>
      <c r="C153" s="259">
        <v>-94</v>
      </c>
      <c r="D153" s="16">
        <f>-109+39+3+6-48</f>
        <v>-109</v>
      </c>
      <c r="E153" s="259">
        <f>107</f>
        <v>107</v>
      </c>
      <c r="F153" s="259"/>
      <c r="G153" s="259">
        <v>915</v>
      </c>
      <c r="H153" s="263">
        <f>SUM(B153:G153)</f>
        <v>819</v>
      </c>
      <c r="I153" s="259">
        <v>-285</v>
      </c>
      <c r="J153" s="309">
        <f t="shared" si="16"/>
        <v>534</v>
      </c>
      <c r="K153" s="261"/>
    </row>
    <row r="154" spans="1:11" ht="16.5" customHeight="1" thickBot="1">
      <c r="A154" s="40" t="s">
        <v>269</v>
      </c>
      <c r="B154" s="265">
        <f>SUM(B148:B153)</f>
        <v>18736</v>
      </c>
      <c r="C154" s="265">
        <f aca="true" t="shared" si="18" ref="C154:I154">SUM(C148:C153)</f>
        <v>6068</v>
      </c>
      <c r="D154" s="265">
        <f t="shared" si="18"/>
        <v>34953</v>
      </c>
      <c r="E154" s="265">
        <f t="shared" si="18"/>
        <v>13010</v>
      </c>
      <c r="F154" s="265">
        <f t="shared" si="18"/>
        <v>0</v>
      </c>
      <c r="G154" s="265">
        <f t="shared" si="18"/>
        <v>230</v>
      </c>
      <c r="H154" s="265">
        <f t="shared" si="18"/>
        <v>72997</v>
      </c>
      <c r="I154" s="265">
        <f t="shared" si="18"/>
        <v>27918</v>
      </c>
      <c r="J154" s="266">
        <f>H154+I154</f>
        <v>100915</v>
      </c>
      <c r="K154" s="261"/>
    </row>
    <row r="155" spans="1:11" ht="45.75" thickTop="1">
      <c r="A155" s="267" t="s">
        <v>362</v>
      </c>
      <c r="B155" s="268"/>
      <c r="C155" s="269"/>
      <c r="D155" s="269"/>
      <c r="E155" s="269"/>
      <c r="F155" s="269"/>
      <c r="G155" s="269"/>
      <c r="H155" s="269"/>
      <c r="I155" s="269"/>
      <c r="J155" s="310"/>
      <c r="K155" s="261"/>
    </row>
    <row r="156" spans="1:11" ht="15" hidden="1">
      <c r="A156" s="40"/>
      <c r="B156" s="269">
        <v>0</v>
      </c>
      <c r="C156" s="269">
        <v>0</v>
      </c>
      <c r="D156" s="269">
        <v>0</v>
      </c>
      <c r="E156" s="269">
        <v>0</v>
      </c>
      <c r="F156" s="269">
        <v>0</v>
      </c>
      <c r="G156" s="269">
        <v>0</v>
      </c>
      <c r="H156" s="269">
        <v>0</v>
      </c>
      <c r="I156" s="269">
        <v>0</v>
      </c>
      <c r="J156" s="310">
        <v>0</v>
      </c>
      <c r="K156" s="261"/>
    </row>
    <row r="157" spans="1:11" ht="14.25" customHeight="1">
      <c r="A157" s="270" t="s">
        <v>298</v>
      </c>
      <c r="B157" s="269"/>
      <c r="C157" s="269"/>
      <c r="D157" s="269"/>
      <c r="E157" s="269"/>
      <c r="F157" s="269"/>
      <c r="G157" s="269"/>
      <c r="H157" s="269"/>
      <c r="I157" s="269"/>
      <c r="J157" s="310"/>
      <c r="K157" s="261"/>
    </row>
    <row r="158" spans="1:11" ht="45">
      <c r="A158" s="271" t="s">
        <v>299</v>
      </c>
      <c r="B158" s="272">
        <v>0</v>
      </c>
      <c r="C158" s="272">
        <v>0</v>
      </c>
      <c r="D158" s="272">
        <v>-383</v>
      </c>
      <c r="E158" s="272">
        <v>383</v>
      </c>
      <c r="F158" s="272">
        <v>0</v>
      </c>
      <c r="G158" s="272">
        <v>0</v>
      </c>
      <c r="H158" s="272">
        <f aca="true" t="shared" si="19" ref="H158:H166">SUM(B158:G158)</f>
        <v>0</v>
      </c>
      <c r="I158" s="272">
        <v>0</v>
      </c>
      <c r="J158" s="304">
        <f aca="true" t="shared" si="20" ref="J158:J166">H158+I158</f>
        <v>0</v>
      </c>
      <c r="K158" s="261"/>
    </row>
    <row r="159" spans="1:11" ht="15" hidden="1">
      <c r="A159" s="2"/>
      <c r="B159" s="272">
        <v>0</v>
      </c>
      <c r="C159" s="272">
        <v>0</v>
      </c>
      <c r="D159" s="272">
        <v>0</v>
      </c>
      <c r="E159" s="272">
        <v>0</v>
      </c>
      <c r="F159" s="272">
        <v>0</v>
      </c>
      <c r="G159" s="272">
        <v>0</v>
      </c>
      <c r="H159" s="272">
        <f t="shared" si="19"/>
        <v>0</v>
      </c>
      <c r="I159" s="272">
        <v>0</v>
      </c>
      <c r="J159" s="304">
        <f t="shared" si="20"/>
        <v>0</v>
      </c>
      <c r="K159" s="261"/>
    </row>
    <row r="160" spans="1:11" ht="30" hidden="1">
      <c r="A160" s="273" t="s">
        <v>322</v>
      </c>
      <c r="B160" s="272">
        <v>0</v>
      </c>
      <c r="C160" s="272">
        <v>0</v>
      </c>
      <c r="D160" s="272">
        <v>0</v>
      </c>
      <c r="E160" s="272">
        <v>0</v>
      </c>
      <c r="F160" s="272">
        <v>0</v>
      </c>
      <c r="G160" s="272">
        <v>0</v>
      </c>
      <c r="H160" s="272">
        <f t="shared" si="19"/>
        <v>0</v>
      </c>
      <c r="I160" s="272">
        <v>0</v>
      </c>
      <c r="J160" s="304">
        <f t="shared" si="20"/>
        <v>0</v>
      </c>
      <c r="K160" s="261"/>
    </row>
    <row r="161" spans="1:11" ht="45">
      <c r="A161" s="273" t="s">
        <v>321</v>
      </c>
      <c r="B161" s="272">
        <v>0</v>
      </c>
      <c r="C161" s="272">
        <v>0</v>
      </c>
      <c r="D161" s="272">
        <v>0</v>
      </c>
      <c r="E161" s="272">
        <v>0</v>
      </c>
      <c r="F161" s="272">
        <v>0</v>
      </c>
      <c r="G161" s="272">
        <v>-5</v>
      </c>
      <c r="H161" s="272">
        <f t="shared" si="19"/>
        <v>-5</v>
      </c>
      <c r="I161" s="272">
        <v>0</v>
      </c>
      <c r="J161" s="304">
        <f>H161+I161</f>
        <v>-5</v>
      </c>
      <c r="K161" s="261"/>
    </row>
    <row r="162" spans="1:256" ht="30" hidden="1">
      <c r="A162" s="273" t="s">
        <v>320</v>
      </c>
      <c r="B162" s="272">
        <v>0</v>
      </c>
      <c r="C162" s="272">
        <v>0</v>
      </c>
      <c r="D162" s="272">
        <v>0</v>
      </c>
      <c r="E162" s="272">
        <v>0</v>
      </c>
      <c r="F162" s="272">
        <v>0</v>
      </c>
      <c r="G162" s="272">
        <f>6591-6591</f>
        <v>0</v>
      </c>
      <c r="H162" s="272">
        <f t="shared" si="19"/>
        <v>0</v>
      </c>
      <c r="I162" s="272">
        <v>0</v>
      </c>
      <c r="J162" s="304">
        <f t="shared" si="20"/>
        <v>0</v>
      </c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7"/>
      <c r="AV162" s="107"/>
      <c r="AW162" s="107"/>
      <c r="AX162" s="107"/>
      <c r="AY162" s="107"/>
      <c r="AZ162" s="107"/>
      <c r="BA162" s="107"/>
      <c r="BB162" s="107"/>
      <c r="BC162" s="107"/>
      <c r="BD162" s="107"/>
      <c r="BE162" s="107"/>
      <c r="BF162" s="107"/>
      <c r="BG162" s="107"/>
      <c r="BH162" s="107"/>
      <c r="BI162" s="107"/>
      <c r="BJ162" s="107"/>
      <c r="BK162" s="107"/>
      <c r="BL162" s="107"/>
      <c r="BM162" s="107"/>
      <c r="BN162" s="107"/>
      <c r="BO162" s="107"/>
      <c r="BP162" s="107"/>
      <c r="BQ162" s="107"/>
      <c r="BR162" s="107"/>
      <c r="BS162" s="107"/>
      <c r="BT162" s="107"/>
      <c r="BU162" s="107"/>
      <c r="BV162" s="107"/>
      <c r="BW162" s="107"/>
      <c r="BX162" s="107"/>
      <c r="BY162" s="107"/>
      <c r="BZ162" s="107"/>
      <c r="CA162" s="107"/>
      <c r="CB162" s="107"/>
      <c r="CC162" s="107"/>
      <c r="CD162" s="107"/>
      <c r="CE162" s="107"/>
      <c r="CF162" s="107"/>
      <c r="CG162" s="107"/>
      <c r="CH162" s="107"/>
      <c r="CI162" s="107"/>
      <c r="CJ162" s="107"/>
      <c r="CK162" s="107"/>
      <c r="CL162" s="107"/>
      <c r="CM162" s="107"/>
      <c r="CN162" s="107"/>
      <c r="CO162" s="107"/>
      <c r="CP162" s="107"/>
      <c r="CQ162" s="107"/>
      <c r="CR162" s="107"/>
      <c r="CS162" s="107"/>
      <c r="CT162" s="107"/>
      <c r="CU162" s="107"/>
      <c r="CV162" s="107"/>
      <c r="CW162" s="107"/>
      <c r="CX162" s="107"/>
      <c r="CY162" s="107"/>
      <c r="CZ162" s="107"/>
      <c r="DA162" s="107"/>
      <c r="DB162" s="107"/>
      <c r="DC162" s="107"/>
      <c r="DD162" s="107"/>
      <c r="DE162" s="107"/>
      <c r="DF162" s="107"/>
      <c r="DG162" s="107"/>
      <c r="DH162" s="107"/>
      <c r="DI162" s="107"/>
      <c r="DJ162" s="107"/>
      <c r="DK162" s="107"/>
      <c r="DL162" s="107"/>
      <c r="DM162" s="107"/>
      <c r="DN162" s="107"/>
      <c r="DO162" s="107"/>
      <c r="DP162" s="107"/>
      <c r="DQ162" s="107"/>
      <c r="DR162" s="107"/>
      <c r="DS162" s="107"/>
      <c r="DT162" s="107"/>
      <c r="DU162" s="107"/>
      <c r="DV162" s="107"/>
      <c r="DW162" s="107"/>
      <c r="DX162" s="107"/>
      <c r="DY162" s="107"/>
      <c r="DZ162" s="107"/>
      <c r="EA162" s="107"/>
      <c r="EB162" s="107"/>
      <c r="EC162" s="107"/>
      <c r="ED162" s="107"/>
      <c r="EE162" s="107"/>
      <c r="EF162" s="107"/>
      <c r="EG162" s="107"/>
      <c r="EH162" s="107"/>
      <c r="EI162" s="107"/>
      <c r="EJ162" s="107"/>
      <c r="EK162" s="107"/>
      <c r="EL162" s="107"/>
      <c r="EM162" s="107"/>
      <c r="EN162" s="107"/>
      <c r="EO162" s="107"/>
      <c r="EP162" s="107"/>
      <c r="EQ162" s="107"/>
      <c r="ER162" s="107"/>
      <c r="ES162" s="107"/>
      <c r="ET162" s="107"/>
      <c r="EU162" s="107"/>
      <c r="EV162" s="107"/>
      <c r="EW162" s="107"/>
      <c r="EX162" s="107"/>
      <c r="EY162" s="107"/>
      <c r="EZ162" s="107"/>
      <c r="FA162" s="107"/>
      <c r="FB162" s="107"/>
      <c r="FC162" s="107"/>
      <c r="FD162" s="107"/>
      <c r="FE162" s="107"/>
      <c r="FF162" s="107"/>
      <c r="FG162" s="107"/>
      <c r="FH162" s="107"/>
      <c r="FI162" s="107"/>
      <c r="FJ162" s="107"/>
      <c r="FK162" s="107"/>
      <c r="FL162" s="107"/>
      <c r="FM162" s="107"/>
      <c r="FN162" s="107"/>
      <c r="FO162" s="107"/>
      <c r="FP162" s="107"/>
      <c r="FQ162" s="107"/>
      <c r="FR162" s="107"/>
      <c r="FS162" s="107"/>
      <c r="FT162" s="107"/>
      <c r="FU162" s="107"/>
      <c r="FV162" s="107"/>
      <c r="FW162" s="107"/>
      <c r="FX162" s="107"/>
      <c r="FY162" s="107"/>
      <c r="FZ162" s="107"/>
      <c r="GA162" s="107"/>
      <c r="GB162" s="107"/>
      <c r="GC162" s="107"/>
      <c r="GD162" s="107"/>
      <c r="GE162" s="107"/>
      <c r="GF162" s="107"/>
      <c r="GG162" s="107"/>
      <c r="GH162" s="107"/>
      <c r="GI162" s="107"/>
      <c r="GJ162" s="107"/>
      <c r="GK162" s="107"/>
      <c r="GL162" s="107"/>
      <c r="GM162" s="107"/>
      <c r="GN162" s="107"/>
      <c r="GO162" s="107"/>
      <c r="GP162" s="107"/>
      <c r="GQ162" s="107"/>
      <c r="GR162" s="107"/>
      <c r="GS162" s="107"/>
      <c r="GT162" s="107"/>
      <c r="GU162" s="107"/>
      <c r="GV162" s="107"/>
      <c r="GW162" s="107"/>
      <c r="GX162" s="107"/>
      <c r="GY162" s="107"/>
      <c r="GZ162" s="107"/>
      <c r="HA162" s="107"/>
      <c r="HB162" s="107"/>
      <c r="HC162" s="107"/>
      <c r="HD162" s="107"/>
      <c r="HE162" s="107"/>
      <c r="HF162" s="107"/>
      <c r="HG162" s="107"/>
      <c r="HH162" s="107"/>
      <c r="HI162" s="107"/>
      <c r="HJ162" s="107"/>
      <c r="HK162" s="107"/>
      <c r="HL162" s="107"/>
      <c r="HM162" s="107"/>
      <c r="HN162" s="107"/>
      <c r="HO162" s="107"/>
      <c r="HP162" s="107"/>
      <c r="HQ162" s="107"/>
      <c r="HR162" s="107"/>
      <c r="HS162" s="107"/>
      <c r="HT162" s="107"/>
      <c r="HU162" s="107"/>
      <c r="HV162" s="107"/>
      <c r="HW162" s="107"/>
      <c r="HX162" s="107"/>
      <c r="HY162" s="107"/>
      <c r="HZ162" s="107"/>
      <c r="IA162" s="107"/>
      <c r="IB162" s="107"/>
      <c r="IC162" s="107"/>
      <c r="ID162" s="107"/>
      <c r="IE162" s="107"/>
      <c r="IF162" s="107"/>
      <c r="IG162" s="107"/>
      <c r="IH162" s="107"/>
      <c r="II162" s="107"/>
      <c r="IJ162" s="107"/>
      <c r="IK162" s="107"/>
      <c r="IL162" s="107"/>
      <c r="IM162" s="107"/>
      <c r="IN162" s="107"/>
      <c r="IO162" s="107"/>
      <c r="IP162" s="107"/>
      <c r="IQ162" s="107"/>
      <c r="IR162" s="107"/>
      <c r="IS162" s="107"/>
      <c r="IT162" s="107"/>
      <c r="IU162" s="107"/>
      <c r="IV162" s="107"/>
    </row>
    <row r="163" spans="1:11" ht="27" customHeight="1">
      <c r="A163" s="63" t="s">
        <v>360</v>
      </c>
      <c r="B163" s="272">
        <v>0</v>
      </c>
      <c r="C163" s="272">
        <v>0</v>
      </c>
      <c r="D163" s="272">
        <v>-4708</v>
      </c>
      <c r="E163" s="272">
        <v>0</v>
      </c>
      <c r="F163" s="272">
        <v>0</v>
      </c>
      <c r="G163" s="272">
        <v>-1809</v>
      </c>
      <c r="H163" s="272">
        <f t="shared" si="19"/>
        <v>-6517</v>
      </c>
      <c r="I163" s="272">
        <v>6517</v>
      </c>
      <c r="J163" s="304">
        <f>H163+I163</f>
        <v>0</v>
      </c>
      <c r="K163" s="261"/>
    </row>
    <row r="164" spans="1:12" ht="30">
      <c r="A164" s="2" t="s">
        <v>17</v>
      </c>
      <c r="B164" s="272">
        <v>0</v>
      </c>
      <c r="C164" s="272">
        <v>0</v>
      </c>
      <c r="D164" s="272">
        <v>0</v>
      </c>
      <c r="E164" s="272">
        <v>0</v>
      </c>
      <c r="F164" s="272">
        <v>0</v>
      </c>
      <c r="G164" s="272">
        <f>-3418+2048-93</f>
        <v>-1463</v>
      </c>
      <c r="H164" s="272">
        <f t="shared" si="19"/>
        <v>-1463</v>
      </c>
      <c r="I164" s="272">
        <f>1104-752-501+1253</f>
        <v>1104</v>
      </c>
      <c r="J164" s="304">
        <f t="shared" si="20"/>
        <v>-359</v>
      </c>
      <c r="K164" s="261"/>
      <c r="L164" s="274">
        <f>J164-'a st.of comprehensive income bg'!G30</f>
        <v>0</v>
      </c>
    </row>
    <row r="165" spans="1:11" ht="30">
      <c r="A165" s="2" t="s">
        <v>300</v>
      </c>
      <c r="B165" s="272">
        <v>0</v>
      </c>
      <c r="C165" s="272">
        <v>0</v>
      </c>
      <c r="D165" s="272">
        <f>-75-2082-26+1835</f>
        <v>-348</v>
      </c>
      <c r="E165" s="272">
        <v>0</v>
      </c>
      <c r="F165" s="272">
        <v>0</v>
      </c>
      <c r="G165" s="272">
        <v>0</v>
      </c>
      <c r="H165" s="272">
        <f t="shared" si="19"/>
        <v>-348</v>
      </c>
      <c r="I165" s="272">
        <f>-234+42+2-6-38</f>
        <v>-234</v>
      </c>
      <c r="J165" s="304">
        <f t="shared" si="20"/>
        <v>-582</v>
      </c>
      <c r="K165" s="261"/>
    </row>
    <row r="166" spans="1:11" ht="30">
      <c r="A166" s="63" t="s">
        <v>8</v>
      </c>
      <c r="B166" s="272">
        <v>0</v>
      </c>
      <c r="C166" s="272">
        <v>0</v>
      </c>
      <c r="D166" s="272">
        <f>-280+108-4626</f>
        <v>-4798</v>
      </c>
      <c r="E166" s="272">
        <f>-5+5</f>
        <v>0</v>
      </c>
      <c r="F166" s="272">
        <v>0</v>
      </c>
      <c r="G166" s="272">
        <f>1416+6592-1770</f>
        <v>6238</v>
      </c>
      <c r="H166" s="272">
        <f t="shared" si="19"/>
        <v>1440</v>
      </c>
      <c r="I166" s="272">
        <f>177+52-674</f>
        <v>-445</v>
      </c>
      <c r="J166" s="304">
        <f t="shared" si="20"/>
        <v>995</v>
      </c>
      <c r="K166" s="261"/>
    </row>
    <row r="167" spans="1:12" ht="15.75" customHeight="1" thickBot="1">
      <c r="A167" s="40" t="s">
        <v>279</v>
      </c>
      <c r="B167" s="265">
        <f>SUM(B154:B166)</f>
        <v>18736</v>
      </c>
      <c r="C167" s="265">
        <f>SUM(C154:C166)</f>
        <v>6068</v>
      </c>
      <c r="D167" s="265">
        <f>SUM(D154:D166)</f>
        <v>24716</v>
      </c>
      <c r="E167" s="265">
        <f>SUM(E154:E166)</f>
        <v>13393</v>
      </c>
      <c r="F167" s="265">
        <f>SUM(F156:F166)</f>
        <v>0</v>
      </c>
      <c r="G167" s="265">
        <f>SUM(G154:G166)</f>
        <v>3191</v>
      </c>
      <c r="H167" s="266">
        <f>SUM(H154:H166)</f>
        <v>66104</v>
      </c>
      <c r="I167" s="265">
        <f>SUM(I154:I166)</f>
        <v>34860</v>
      </c>
      <c r="J167" s="266">
        <f>H167+I167</f>
        <v>100964</v>
      </c>
      <c r="K167" s="261"/>
      <c r="L167" s="261"/>
    </row>
    <row r="168" spans="1:11" ht="3.75" customHeight="1" thickTop="1">
      <c r="A168" s="275"/>
      <c r="B168" s="276"/>
      <c r="C168" s="276"/>
      <c r="D168" s="276"/>
      <c r="E168" s="276"/>
      <c r="F168" s="276"/>
      <c r="G168" s="276"/>
      <c r="H168" s="276"/>
      <c r="I168" s="276"/>
      <c r="J168" s="278"/>
      <c r="K168" s="261"/>
    </row>
    <row r="169" spans="1:11" ht="30" hidden="1">
      <c r="A169" s="277" t="s">
        <v>298</v>
      </c>
      <c r="B169" s="276"/>
      <c r="C169" s="276"/>
      <c r="D169" s="276"/>
      <c r="E169" s="276"/>
      <c r="F169" s="276"/>
      <c r="G169" s="276"/>
      <c r="H169" s="276"/>
      <c r="I169" s="276"/>
      <c r="J169" s="278"/>
      <c r="K169" s="261"/>
    </row>
    <row r="170" spans="1:11" ht="45" hidden="1">
      <c r="A170" s="279" t="s">
        <v>299</v>
      </c>
      <c r="B170" s="276"/>
      <c r="C170" s="276"/>
      <c r="D170" s="247"/>
      <c r="E170" s="247"/>
      <c r="F170" s="247"/>
      <c r="G170" s="247"/>
      <c r="H170" s="276">
        <f aca="true" t="shared" si="21" ref="H170:H183">SUM(B170:G170)</f>
        <v>0</v>
      </c>
      <c r="I170" s="276"/>
      <c r="J170" s="280">
        <f aca="true" t="shared" si="22" ref="J170:J183">H170+I170</f>
        <v>0</v>
      </c>
      <c r="K170" s="261"/>
    </row>
    <row r="171" spans="1:11" ht="15" hidden="1">
      <c r="A171" s="95"/>
      <c r="B171" s="276"/>
      <c r="C171" s="276"/>
      <c r="D171" s="247"/>
      <c r="E171" s="247"/>
      <c r="F171" s="247"/>
      <c r="G171" s="247"/>
      <c r="H171" s="276">
        <f t="shared" si="21"/>
        <v>0</v>
      </c>
      <c r="I171" s="247"/>
      <c r="J171" s="280">
        <f t="shared" si="22"/>
        <v>0</v>
      </c>
      <c r="K171" s="261"/>
    </row>
    <row r="172" spans="1:11" ht="30" hidden="1">
      <c r="A172" s="281" t="s">
        <v>322</v>
      </c>
      <c r="B172" s="276"/>
      <c r="C172" s="276"/>
      <c r="D172" s="247"/>
      <c r="E172" s="247"/>
      <c r="F172" s="247"/>
      <c r="G172" s="247"/>
      <c r="H172" s="276">
        <f t="shared" si="21"/>
        <v>0</v>
      </c>
      <c r="I172" s="247"/>
      <c r="J172" s="280">
        <f t="shared" si="22"/>
        <v>0</v>
      </c>
      <c r="K172" s="261"/>
    </row>
    <row r="173" spans="1:11" ht="30" hidden="1">
      <c r="A173" s="281" t="s">
        <v>321</v>
      </c>
      <c r="B173" s="276"/>
      <c r="C173" s="276"/>
      <c r="D173" s="247"/>
      <c r="E173" s="247"/>
      <c r="F173" s="247"/>
      <c r="G173" s="247"/>
      <c r="H173" s="276">
        <f t="shared" si="21"/>
        <v>0</v>
      </c>
      <c r="I173" s="282"/>
      <c r="J173" s="280">
        <f t="shared" si="22"/>
        <v>0</v>
      </c>
      <c r="K173" s="261"/>
    </row>
    <row r="174" spans="1:256" ht="30" hidden="1">
      <c r="A174" s="281" t="s">
        <v>320</v>
      </c>
      <c r="B174" s="235"/>
      <c r="C174" s="235"/>
      <c r="D174" s="247"/>
      <c r="E174" s="247"/>
      <c r="F174" s="247"/>
      <c r="G174" s="247"/>
      <c r="H174" s="276">
        <f t="shared" si="21"/>
        <v>0</v>
      </c>
      <c r="I174" s="235"/>
      <c r="J174" s="280">
        <f t="shared" si="22"/>
        <v>0</v>
      </c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7"/>
      <c r="AV174" s="107"/>
      <c r="AW174" s="107"/>
      <c r="AX174" s="107"/>
      <c r="AY174" s="107"/>
      <c r="AZ174" s="107"/>
      <c r="BA174" s="107"/>
      <c r="BB174" s="107"/>
      <c r="BC174" s="107"/>
      <c r="BD174" s="107"/>
      <c r="BE174" s="107"/>
      <c r="BF174" s="107"/>
      <c r="BG174" s="107"/>
      <c r="BH174" s="107"/>
      <c r="BI174" s="107"/>
      <c r="BJ174" s="107"/>
      <c r="BK174" s="107"/>
      <c r="BL174" s="107"/>
      <c r="BM174" s="107"/>
      <c r="BN174" s="107"/>
      <c r="BO174" s="107"/>
      <c r="BP174" s="107"/>
      <c r="BQ174" s="107"/>
      <c r="BR174" s="107"/>
      <c r="BS174" s="107"/>
      <c r="BT174" s="107"/>
      <c r="BU174" s="107"/>
      <c r="BV174" s="107"/>
      <c r="BW174" s="107"/>
      <c r="BX174" s="107"/>
      <c r="BY174" s="107"/>
      <c r="BZ174" s="107"/>
      <c r="CA174" s="107"/>
      <c r="CB174" s="107"/>
      <c r="CC174" s="107"/>
      <c r="CD174" s="107"/>
      <c r="CE174" s="107"/>
      <c r="CF174" s="107"/>
      <c r="CG174" s="107"/>
      <c r="CH174" s="107"/>
      <c r="CI174" s="107"/>
      <c r="CJ174" s="107"/>
      <c r="CK174" s="107"/>
      <c r="CL174" s="107"/>
      <c r="CM174" s="107"/>
      <c r="CN174" s="107"/>
      <c r="CO174" s="107"/>
      <c r="CP174" s="107"/>
      <c r="CQ174" s="107"/>
      <c r="CR174" s="107"/>
      <c r="CS174" s="107"/>
      <c r="CT174" s="107"/>
      <c r="CU174" s="107"/>
      <c r="CV174" s="107"/>
      <c r="CW174" s="107"/>
      <c r="CX174" s="107"/>
      <c r="CY174" s="107"/>
      <c r="CZ174" s="107"/>
      <c r="DA174" s="107"/>
      <c r="DB174" s="107"/>
      <c r="DC174" s="107"/>
      <c r="DD174" s="107"/>
      <c r="DE174" s="107"/>
      <c r="DF174" s="107"/>
      <c r="DG174" s="107"/>
      <c r="DH174" s="107"/>
      <c r="DI174" s="107"/>
      <c r="DJ174" s="107"/>
      <c r="DK174" s="107"/>
      <c r="DL174" s="107"/>
      <c r="DM174" s="107"/>
      <c r="DN174" s="107"/>
      <c r="DO174" s="107"/>
      <c r="DP174" s="107"/>
      <c r="DQ174" s="107"/>
      <c r="DR174" s="107"/>
      <c r="DS174" s="107"/>
      <c r="DT174" s="107"/>
      <c r="DU174" s="107"/>
      <c r="DV174" s="107"/>
      <c r="DW174" s="107"/>
      <c r="DX174" s="107"/>
      <c r="DY174" s="107"/>
      <c r="DZ174" s="107"/>
      <c r="EA174" s="107"/>
      <c r="EB174" s="107"/>
      <c r="EC174" s="107"/>
      <c r="ED174" s="107"/>
      <c r="EE174" s="107"/>
      <c r="EF174" s="107"/>
      <c r="EG174" s="107"/>
      <c r="EH174" s="107"/>
      <c r="EI174" s="107"/>
      <c r="EJ174" s="107"/>
      <c r="EK174" s="107"/>
      <c r="EL174" s="107"/>
      <c r="EM174" s="107"/>
      <c r="EN174" s="107"/>
      <c r="EO174" s="107"/>
      <c r="EP174" s="107"/>
      <c r="EQ174" s="107"/>
      <c r="ER174" s="107"/>
      <c r="ES174" s="107"/>
      <c r="ET174" s="107"/>
      <c r="EU174" s="107"/>
      <c r="EV174" s="107"/>
      <c r="EW174" s="107"/>
      <c r="EX174" s="107"/>
      <c r="EY174" s="107"/>
      <c r="EZ174" s="107"/>
      <c r="FA174" s="107"/>
      <c r="FB174" s="107"/>
      <c r="FC174" s="107"/>
      <c r="FD174" s="107"/>
      <c r="FE174" s="107"/>
      <c r="FF174" s="107"/>
      <c r="FG174" s="107"/>
      <c r="FH174" s="107"/>
      <c r="FI174" s="107"/>
      <c r="FJ174" s="107"/>
      <c r="FK174" s="107"/>
      <c r="FL174" s="107"/>
      <c r="FM174" s="107"/>
      <c r="FN174" s="107"/>
      <c r="FO174" s="107"/>
      <c r="FP174" s="107"/>
      <c r="FQ174" s="107"/>
      <c r="FR174" s="107"/>
      <c r="FS174" s="107"/>
      <c r="FT174" s="107"/>
      <c r="FU174" s="107"/>
      <c r="FV174" s="107"/>
      <c r="FW174" s="107"/>
      <c r="FX174" s="107"/>
      <c r="FY174" s="107"/>
      <c r="FZ174" s="107"/>
      <c r="GA174" s="107"/>
      <c r="GB174" s="107"/>
      <c r="GC174" s="107"/>
      <c r="GD174" s="107"/>
      <c r="GE174" s="107"/>
      <c r="GF174" s="107"/>
      <c r="GG174" s="107"/>
      <c r="GH174" s="107"/>
      <c r="GI174" s="107"/>
      <c r="GJ174" s="107"/>
      <c r="GK174" s="107"/>
      <c r="GL174" s="107"/>
      <c r="GM174" s="107"/>
      <c r="GN174" s="107"/>
      <c r="GO174" s="107"/>
      <c r="GP174" s="107"/>
      <c r="GQ174" s="107"/>
      <c r="GR174" s="107"/>
      <c r="GS174" s="107"/>
      <c r="GT174" s="107"/>
      <c r="GU174" s="107"/>
      <c r="GV174" s="107"/>
      <c r="GW174" s="107"/>
      <c r="GX174" s="107"/>
      <c r="GY174" s="107"/>
      <c r="GZ174" s="107"/>
      <c r="HA174" s="107"/>
      <c r="HB174" s="107"/>
      <c r="HC174" s="107"/>
      <c r="HD174" s="107"/>
      <c r="HE174" s="107"/>
      <c r="HF174" s="107"/>
      <c r="HG174" s="107"/>
      <c r="HH174" s="107"/>
      <c r="HI174" s="107"/>
      <c r="HJ174" s="107"/>
      <c r="HK174" s="107"/>
      <c r="HL174" s="107"/>
      <c r="HM174" s="107"/>
      <c r="HN174" s="107"/>
      <c r="HO174" s="107"/>
      <c r="HP174" s="107"/>
      <c r="HQ174" s="107"/>
      <c r="HR174" s="107"/>
      <c r="HS174" s="107"/>
      <c r="HT174" s="107"/>
      <c r="HU174" s="107"/>
      <c r="HV174" s="107"/>
      <c r="HW174" s="107"/>
      <c r="HX174" s="107"/>
      <c r="HY174" s="107"/>
      <c r="HZ174" s="107"/>
      <c r="IA174" s="107"/>
      <c r="IB174" s="107"/>
      <c r="IC174" s="107"/>
      <c r="ID174" s="107"/>
      <c r="IE174" s="107"/>
      <c r="IF174" s="107"/>
      <c r="IG174" s="107"/>
      <c r="IH174" s="107"/>
      <c r="II174" s="107"/>
      <c r="IJ174" s="107"/>
      <c r="IK174" s="107"/>
      <c r="IL174" s="107"/>
      <c r="IM174" s="107"/>
      <c r="IN174" s="107"/>
      <c r="IO174" s="107"/>
      <c r="IP174" s="107"/>
      <c r="IQ174" s="107"/>
      <c r="IR174" s="107"/>
      <c r="IS174" s="107"/>
      <c r="IT174" s="107"/>
      <c r="IU174" s="107"/>
      <c r="IV174" s="107"/>
    </row>
    <row r="175" spans="1:11" ht="30" hidden="1">
      <c r="A175" s="283" t="s">
        <v>319</v>
      </c>
      <c r="B175" s="276"/>
      <c r="C175" s="276"/>
      <c r="D175" s="247"/>
      <c r="E175" s="247"/>
      <c r="F175" s="247"/>
      <c r="G175" s="247"/>
      <c r="H175" s="276">
        <f t="shared" si="21"/>
        <v>0</v>
      </c>
      <c r="I175" s="282"/>
      <c r="J175" s="280">
        <f t="shared" si="22"/>
        <v>0</v>
      </c>
      <c r="K175" s="261"/>
    </row>
    <row r="176" spans="1:11" ht="63" customHeight="1">
      <c r="A176" s="284" t="s">
        <v>342</v>
      </c>
      <c r="B176" s="290">
        <v>0</v>
      </c>
      <c r="C176" s="290">
        <v>0</v>
      </c>
      <c r="D176" s="290">
        <v>0</v>
      </c>
      <c r="E176" s="290">
        <v>0</v>
      </c>
      <c r="F176" s="213"/>
      <c r="G176" s="303">
        <v>-655</v>
      </c>
      <c r="H176" s="303">
        <f>SUM(B176:G176)</f>
        <v>-655</v>
      </c>
      <c r="I176" s="303">
        <v>-13</v>
      </c>
      <c r="J176" s="285">
        <f t="shared" si="22"/>
        <v>-668</v>
      </c>
      <c r="K176" s="261" t="s">
        <v>344</v>
      </c>
    </row>
    <row r="177" spans="1:12" ht="29.25" thickBot="1">
      <c r="A177" s="286" t="s">
        <v>343</v>
      </c>
      <c r="B177" s="265">
        <f>B167+B176</f>
        <v>18736</v>
      </c>
      <c r="C177" s="265">
        <f aca="true" t="shared" si="23" ref="C177:J177">C167+C176</f>
        <v>6068</v>
      </c>
      <c r="D177" s="265">
        <f t="shared" si="23"/>
        <v>24716</v>
      </c>
      <c r="E177" s="265">
        <f t="shared" si="23"/>
        <v>13393</v>
      </c>
      <c r="F177" s="265">
        <f t="shared" si="23"/>
        <v>0</v>
      </c>
      <c r="G177" s="265">
        <f t="shared" si="23"/>
        <v>2536</v>
      </c>
      <c r="H177" s="266">
        <f t="shared" si="23"/>
        <v>65449</v>
      </c>
      <c r="I177" s="265">
        <f t="shared" si="23"/>
        <v>34847</v>
      </c>
      <c r="J177" s="266">
        <f t="shared" si="23"/>
        <v>100296</v>
      </c>
      <c r="K177" s="261"/>
      <c r="L177" s="261"/>
    </row>
    <row r="178" spans="1:11" ht="45.75" thickTop="1">
      <c r="A178" s="267" t="s">
        <v>361</v>
      </c>
      <c r="B178" s="287"/>
      <c r="C178" s="287"/>
      <c r="D178" s="288"/>
      <c r="E178" s="288"/>
      <c r="F178" s="288"/>
      <c r="G178" s="288"/>
      <c r="H178" s="287"/>
      <c r="I178" s="289"/>
      <c r="J178" s="311"/>
      <c r="K178" s="261"/>
    </row>
    <row r="179" spans="1:12" ht="30">
      <c r="A179" s="95" t="s">
        <v>17</v>
      </c>
      <c r="B179" s="290">
        <v>0</v>
      </c>
      <c r="C179" s="290">
        <v>0</v>
      </c>
      <c r="D179" s="290">
        <v>0</v>
      </c>
      <c r="E179" s="290">
        <v>0</v>
      </c>
      <c r="F179" s="290">
        <v>0</v>
      </c>
      <c r="G179" s="290">
        <v>1917</v>
      </c>
      <c r="H179" s="291">
        <f>SUM(B179:G179)</f>
        <v>1917</v>
      </c>
      <c r="I179" s="290">
        <v>2171</v>
      </c>
      <c r="J179" s="312">
        <f t="shared" si="22"/>
        <v>4088</v>
      </c>
      <c r="K179" s="261"/>
      <c r="L179" s="274">
        <f>J179-'a st.of comprehensive income bg'!C30</f>
        <v>0</v>
      </c>
    </row>
    <row r="180" spans="1:11" ht="30">
      <c r="A180" s="95" t="s">
        <v>384</v>
      </c>
      <c r="B180" s="290">
        <v>0</v>
      </c>
      <c r="C180" s="290">
        <v>0</v>
      </c>
      <c r="D180" s="290">
        <v>-70</v>
      </c>
      <c r="E180" s="290">
        <v>0</v>
      </c>
      <c r="F180" s="290">
        <v>0</v>
      </c>
      <c r="G180" s="290">
        <v>16</v>
      </c>
      <c r="H180" s="291">
        <f t="shared" si="21"/>
        <v>-54</v>
      </c>
      <c r="I180" s="290">
        <v>-40</v>
      </c>
      <c r="J180" s="312">
        <f t="shared" si="22"/>
        <v>-94</v>
      </c>
      <c r="K180" s="261"/>
    </row>
    <row r="181" spans="1:11" ht="15">
      <c r="A181" s="95" t="s">
        <v>329</v>
      </c>
      <c r="B181" s="290">
        <v>0</v>
      </c>
      <c r="C181" s="290">
        <v>-3226</v>
      </c>
      <c r="D181" s="290">
        <v>0</v>
      </c>
      <c r="E181" s="290">
        <v>0</v>
      </c>
      <c r="F181" s="290">
        <v>0</v>
      </c>
      <c r="G181" s="290">
        <v>3226</v>
      </c>
      <c r="H181" s="291">
        <f t="shared" si="21"/>
        <v>0</v>
      </c>
      <c r="I181" s="290">
        <v>0</v>
      </c>
      <c r="J181" s="312">
        <f t="shared" si="22"/>
        <v>0</v>
      </c>
      <c r="K181" s="261"/>
    </row>
    <row r="182" spans="1:11" s="296" customFormat="1" ht="33.75" customHeight="1">
      <c r="A182" s="292" t="s">
        <v>366</v>
      </c>
      <c r="B182" s="293">
        <v>0</v>
      </c>
      <c r="C182" s="293">
        <v>0</v>
      </c>
      <c r="D182" s="293">
        <v>0</v>
      </c>
      <c r="E182" s="293">
        <v>0</v>
      </c>
      <c r="F182" s="293">
        <v>0</v>
      </c>
      <c r="G182" s="293">
        <v>642</v>
      </c>
      <c r="H182" s="294">
        <f t="shared" si="21"/>
        <v>642</v>
      </c>
      <c r="I182" s="293">
        <v>-13568</v>
      </c>
      <c r="J182" s="313">
        <f t="shared" si="22"/>
        <v>-12926</v>
      </c>
      <c r="K182" s="295" t="s">
        <v>364</v>
      </c>
    </row>
    <row r="183" spans="1:11" s="298" customFormat="1" ht="30">
      <c r="A183" s="2" t="s">
        <v>8</v>
      </c>
      <c r="B183" s="290">
        <v>0</v>
      </c>
      <c r="C183" s="290">
        <v>0</v>
      </c>
      <c r="D183" s="290">
        <v>569</v>
      </c>
      <c r="E183" s="290">
        <v>0</v>
      </c>
      <c r="F183" s="290">
        <v>0</v>
      </c>
      <c r="G183" s="290">
        <f>-702+655-642</f>
        <v>-689</v>
      </c>
      <c r="H183" s="291">
        <f t="shared" si="21"/>
        <v>-120</v>
      </c>
      <c r="I183" s="290">
        <f>-13592+13568+13</f>
        <v>-11</v>
      </c>
      <c r="J183" s="312">
        <f t="shared" si="22"/>
        <v>-131</v>
      </c>
      <c r="K183" s="297" t="s">
        <v>365</v>
      </c>
    </row>
    <row r="184" spans="1:12" ht="15.75" thickBot="1">
      <c r="A184" s="40" t="s">
        <v>335</v>
      </c>
      <c r="B184" s="265">
        <f>SUM(B177:B183)</f>
        <v>18736</v>
      </c>
      <c r="C184" s="265">
        <f aca="true" t="shared" si="24" ref="C184:J184">SUM(C177:C183)</f>
        <v>2842</v>
      </c>
      <c r="D184" s="265">
        <f t="shared" si="24"/>
        <v>25215</v>
      </c>
      <c r="E184" s="265">
        <f t="shared" si="24"/>
        <v>13393</v>
      </c>
      <c r="F184" s="265">
        <f t="shared" si="24"/>
        <v>0</v>
      </c>
      <c r="G184" s="265">
        <f t="shared" si="24"/>
        <v>7648</v>
      </c>
      <c r="H184" s="266">
        <f t="shared" si="24"/>
        <v>67834</v>
      </c>
      <c r="I184" s="265">
        <f t="shared" si="24"/>
        <v>23399</v>
      </c>
      <c r="J184" s="266">
        <f t="shared" si="24"/>
        <v>91233</v>
      </c>
      <c r="K184" s="261"/>
      <c r="L184" s="261"/>
    </row>
    <row r="185" spans="2:11" ht="15.75" thickTop="1">
      <c r="B185" s="282"/>
      <c r="C185" s="282"/>
      <c r="D185" s="282"/>
      <c r="E185" s="282"/>
      <c r="F185" s="282"/>
      <c r="G185" s="282"/>
      <c r="H185" s="282"/>
      <c r="I185" s="282"/>
      <c r="K185" s="261"/>
    </row>
    <row r="186" spans="1:8" ht="15">
      <c r="A186" s="108" t="str">
        <f>'a st. of financial position bg'!A103</f>
        <v>Годишният консолидиран финансов отчет е одобрен на 12 април 2019 година от:</v>
      </c>
      <c r="G186" s="299"/>
      <c r="H186" s="261"/>
    </row>
    <row r="187" spans="7:8" ht="15">
      <c r="G187" s="299"/>
      <c r="H187" s="261"/>
    </row>
    <row r="188" spans="7:10" ht="15">
      <c r="G188" s="299"/>
      <c r="J188" s="309"/>
    </row>
    <row r="189" spans="1:9" ht="15">
      <c r="A189" s="108" t="s">
        <v>167</v>
      </c>
      <c r="D189" s="108" t="s">
        <v>270</v>
      </c>
      <c r="G189" s="299"/>
      <c r="I189" s="261"/>
    </row>
    <row r="190" spans="1:7" ht="15">
      <c r="A190" s="300" t="s">
        <v>154</v>
      </c>
      <c r="D190" s="300" t="s">
        <v>166</v>
      </c>
      <c r="G190" s="299"/>
    </row>
    <row r="191" spans="1:10" ht="15">
      <c r="A191" s="300" t="s">
        <v>271</v>
      </c>
      <c r="D191" s="300"/>
      <c r="G191" s="299"/>
      <c r="I191" s="301"/>
      <c r="J191" s="314"/>
    </row>
    <row r="192" spans="1:9" ht="15">
      <c r="A192" s="300"/>
      <c r="G192" s="299"/>
      <c r="I192" s="301"/>
    </row>
    <row r="194" ht="15">
      <c r="A194" s="108" t="str">
        <f>'a st. of financial position bg'!A114</f>
        <v>Мина Николова-Ангелова</v>
      </c>
    </row>
    <row r="195" spans="1:10" ht="15">
      <c r="A195" s="300" t="s">
        <v>151</v>
      </c>
      <c r="I195" s="301"/>
      <c r="J195" s="314"/>
    </row>
    <row r="197" ht="15" hidden="1"/>
    <row r="198" ht="15" hidden="1"/>
    <row r="199" spans="9:10" ht="15" hidden="1">
      <c r="I199" s="302">
        <f>I184-'a st. of financial position bg'!C71</f>
        <v>0</v>
      </c>
      <c r="J199" s="315">
        <f>J184-'a st. of financial position bg'!C73</f>
        <v>0</v>
      </c>
    </row>
    <row r="200" ht="15" hidden="1"/>
    <row r="201" ht="15" hidden="1"/>
    <row r="202" ht="15" hidden="1"/>
    <row r="203" ht="15" hidden="1"/>
    <row r="204" ht="15" hidden="1">
      <c r="A204" s="108" t="s">
        <v>345</v>
      </c>
    </row>
    <row r="205" ht="15" hidden="1">
      <c r="B205" s="108" t="s">
        <v>347</v>
      </c>
    </row>
    <row r="206" ht="15" hidden="1"/>
    <row r="207" spans="1:2" ht="15" hidden="1">
      <c r="A207" s="108" t="s">
        <v>346</v>
      </c>
      <c r="B207" s="58">
        <v>-136</v>
      </c>
    </row>
    <row r="208" ht="15" hidden="1"/>
    <row r="209" ht="15" hidden="1"/>
    <row r="210" ht="15">
      <c r="A210" s="133" t="s">
        <v>373</v>
      </c>
    </row>
    <row r="211" ht="28.5">
      <c r="A211" s="133" t="s">
        <v>374</v>
      </c>
    </row>
  </sheetData>
  <sheetProtection/>
  <mergeCells count="15">
    <mergeCell ref="D19:D20"/>
    <mergeCell ref="H19:H20"/>
    <mergeCell ref="G28:G29"/>
    <mergeCell ref="E19:E20"/>
    <mergeCell ref="G19:G20"/>
    <mergeCell ref="A7:H7"/>
    <mergeCell ref="A19:A20"/>
    <mergeCell ref="B19:B20"/>
    <mergeCell ref="G35:G36"/>
    <mergeCell ref="D35:D36"/>
    <mergeCell ref="A35:A36"/>
    <mergeCell ref="B35:B36"/>
    <mergeCell ref="E35:E36"/>
    <mergeCell ref="A28:A29"/>
    <mergeCell ref="B28:B29"/>
  </mergeCells>
  <printOptions/>
  <pageMargins left="0.6" right="0.3" top="0.53" bottom="0.61" header="1.35" footer="0.66"/>
  <pageSetup horizontalDpi="600" verticalDpi="600" orientation="portrait" paperSize="9" scale="8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E22:E27"/>
  <sheetViews>
    <sheetView zoomScalePageLayoutView="0" workbookViewId="0" topLeftCell="A1">
      <selection activeCell="A1" sqref="A1"/>
    </sheetView>
  </sheetViews>
  <sheetFormatPr defaultColWidth="9.140625" defaultRowHeight="12.75"/>
  <sheetData>
    <row r="22" ht="18.75">
      <c r="E22" s="6" t="s">
        <v>159</v>
      </c>
    </row>
    <row r="23" ht="15.75">
      <c r="E23" s="7"/>
    </row>
    <row r="24" ht="15.75">
      <c r="E24" s="7" t="s">
        <v>340</v>
      </c>
    </row>
    <row r="25" ht="15.75">
      <c r="E25" s="7"/>
    </row>
    <row r="26" ht="15.75">
      <c r="E26" s="7"/>
    </row>
    <row r="27" ht="15.75">
      <c r="E27" s="7" t="s">
        <v>332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PageLayoutView="0" workbookViewId="0" topLeftCell="A4">
      <selection activeCell="A25" sqref="A25"/>
    </sheetView>
  </sheetViews>
  <sheetFormatPr defaultColWidth="9.140625" defaultRowHeight="12.75"/>
  <cols>
    <col min="1" max="1" width="37.57421875" style="5" customWidth="1"/>
    <col min="2" max="2" width="0.2890625" style="5" hidden="1" customWidth="1"/>
    <col min="3" max="3" width="23.421875" style="5" customWidth="1"/>
    <col min="4" max="4" width="4.00390625" style="124" customWidth="1"/>
    <col min="5" max="5" width="18.28125" style="5" hidden="1" customWidth="1"/>
    <col min="6" max="6" width="5.00390625" style="5" hidden="1" customWidth="1"/>
    <col min="7" max="7" width="18.7109375" style="5" customWidth="1"/>
    <col min="8" max="8" width="17.00390625" style="5" hidden="1" customWidth="1"/>
    <col min="9" max="16384" width="9.140625" style="5" customWidth="1"/>
  </cols>
  <sheetData>
    <row r="1" spans="1:7" ht="15">
      <c r="A1" s="18" t="s">
        <v>197</v>
      </c>
      <c r="G1" s="19" t="s">
        <v>340</v>
      </c>
    </row>
    <row r="2" spans="1:7" ht="15">
      <c r="A2" s="18" t="s">
        <v>159</v>
      </c>
      <c r="G2" s="4" t="s">
        <v>332</v>
      </c>
    </row>
    <row r="3" ht="15">
      <c r="A3" s="20"/>
    </row>
    <row r="4" spans="1:8" ht="15">
      <c r="A4" s="27" t="s">
        <v>18</v>
      </c>
      <c r="B4" s="22"/>
      <c r="C4" s="105">
        <v>43465</v>
      </c>
      <c r="D4" s="171"/>
      <c r="E4" s="105"/>
      <c r="F4" s="22"/>
      <c r="G4" s="170">
        <v>43100</v>
      </c>
      <c r="H4" s="28"/>
    </row>
    <row r="5" spans="1:8" ht="15">
      <c r="A5" s="11" t="s">
        <v>19</v>
      </c>
      <c r="B5" s="13"/>
      <c r="C5" s="13"/>
      <c r="D5" s="172"/>
      <c r="E5" s="13"/>
      <c r="F5" s="13"/>
      <c r="G5" s="10"/>
      <c r="H5" s="10"/>
    </row>
    <row r="6" spans="1:8" ht="15">
      <c r="A6" s="11" t="s">
        <v>20</v>
      </c>
      <c r="B6" s="13"/>
      <c r="C6" s="13"/>
      <c r="D6" s="172"/>
      <c r="E6" s="13"/>
      <c r="F6" s="13"/>
      <c r="G6" s="10"/>
      <c r="H6" s="10"/>
    </row>
    <row r="7" spans="1:8" ht="15">
      <c r="A7" s="3" t="s">
        <v>21</v>
      </c>
      <c r="B7" s="13"/>
      <c r="C7" s="46">
        <f>'a st. of financial position bg'!C10</f>
        <v>84936</v>
      </c>
      <c r="D7" s="173"/>
      <c r="E7" s="46">
        <f>'a st. of financial position bg'!E10</f>
        <v>0</v>
      </c>
      <c r="F7" s="46"/>
      <c r="G7" s="46">
        <f>'a st. of financial position bg'!G10</f>
        <v>97951</v>
      </c>
      <c r="H7" s="46">
        <f>'a st. of financial position bg'!H10</f>
        <v>0</v>
      </c>
    </row>
    <row r="8" spans="1:8" ht="15" customHeight="1">
      <c r="A8" s="13" t="s">
        <v>22</v>
      </c>
      <c r="B8" s="13"/>
      <c r="C8" s="46">
        <f>'a st. of financial position bg'!C11</f>
        <v>13637</v>
      </c>
      <c r="D8" s="173"/>
      <c r="E8" s="46">
        <f>'a st. of financial position bg'!E11</f>
        <v>0</v>
      </c>
      <c r="F8" s="46"/>
      <c r="G8" s="46">
        <f>'a st. of financial position bg'!G11</f>
        <v>12330</v>
      </c>
      <c r="H8" s="46">
        <f>'a st. of financial position bg'!H11</f>
        <v>0</v>
      </c>
    </row>
    <row r="9" spans="1:8" ht="15">
      <c r="A9" s="13" t="s">
        <v>23</v>
      </c>
      <c r="B9" s="13"/>
      <c r="C9" s="46">
        <f>'a st. of financial position bg'!C12</f>
        <v>6293</v>
      </c>
      <c r="D9" s="173"/>
      <c r="E9" s="46">
        <f>'a st. of financial position bg'!E12</f>
        <v>0</v>
      </c>
      <c r="F9" s="46"/>
      <c r="G9" s="46">
        <f>'a st. of financial position bg'!G12</f>
        <v>6293</v>
      </c>
      <c r="H9" s="46">
        <f>'a st. of financial position bg'!H12</f>
        <v>0</v>
      </c>
    </row>
    <row r="10" spans="1:8" ht="15">
      <c r="A10" s="3" t="s">
        <v>24</v>
      </c>
      <c r="B10" s="13"/>
      <c r="C10" s="46">
        <f>'a st. of financial position bg'!C13</f>
        <v>1149</v>
      </c>
      <c r="D10" s="173"/>
      <c r="E10" s="46">
        <f>'a st. of financial position bg'!E13</f>
        <v>0</v>
      </c>
      <c r="F10" s="46"/>
      <c r="G10" s="46">
        <f>'a st. of financial position bg'!G13</f>
        <v>845</v>
      </c>
      <c r="H10" s="46">
        <f>'a st. of financial position bg'!H13</f>
        <v>0</v>
      </c>
    </row>
    <row r="11" spans="1:8" ht="25.5">
      <c r="A11" s="13" t="s">
        <v>379</v>
      </c>
      <c r="B11" s="13"/>
      <c r="C11" s="46">
        <f>'a st. of financial position bg'!C14</f>
        <v>14708</v>
      </c>
      <c r="D11" s="173"/>
      <c r="E11" s="46">
        <f>'a st. of financial position bg'!E14</f>
        <v>0</v>
      </c>
      <c r="F11" s="46"/>
      <c r="G11" s="46">
        <f>'a st. of financial position bg'!G14</f>
        <v>15435</v>
      </c>
      <c r="H11" s="46">
        <f>'a st. of financial position bg'!H14</f>
        <v>0</v>
      </c>
    </row>
    <row r="12" spans="1:8" ht="15">
      <c r="A12" s="13" t="s">
        <v>380</v>
      </c>
      <c r="B12" s="13"/>
      <c r="C12" s="46">
        <f>'a st. of financial position bg'!C15</f>
        <v>4816</v>
      </c>
      <c r="D12" s="173"/>
      <c r="E12" s="46">
        <f>'a st. of financial position bg'!E15</f>
        <v>0</v>
      </c>
      <c r="F12" s="46"/>
      <c r="G12" s="46">
        <f>'a st. of financial position bg'!G15</f>
        <v>5077</v>
      </c>
      <c r="H12" s="46">
        <f>'a st. of financial position bg'!H15</f>
        <v>0</v>
      </c>
    </row>
    <row r="13" spans="1:8" ht="15">
      <c r="A13" s="13" t="s">
        <v>25</v>
      </c>
      <c r="B13" s="13"/>
      <c r="C13" s="46">
        <f>'a st. of financial position bg'!C16</f>
        <v>275</v>
      </c>
      <c r="D13" s="173"/>
      <c r="E13" s="46">
        <f>'a st. of financial position bg'!E16</f>
        <v>0</v>
      </c>
      <c r="F13" s="46"/>
      <c r="G13" s="46">
        <f>'a st. of financial position bg'!G16</f>
        <v>437</v>
      </c>
      <c r="H13" s="46">
        <f>'a st. of financial position bg'!H16</f>
        <v>0</v>
      </c>
    </row>
    <row r="14" spans="1:8" ht="15">
      <c r="A14" s="13" t="s">
        <v>32</v>
      </c>
      <c r="B14" s="13"/>
      <c r="C14" s="46">
        <f>'a st. of financial position bg'!C17</f>
        <v>0</v>
      </c>
      <c r="D14" s="173"/>
      <c r="E14" s="46">
        <f>'a st. of financial position bg'!E17</f>
        <v>0</v>
      </c>
      <c r="F14" s="46"/>
      <c r="G14" s="46">
        <f>'a st. of financial position bg'!G17</f>
        <v>0</v>
      </c>
      <c r="H14" s="46">
        <f>'a st. of financial position bg'!H17</f>
        <v>0</v>
      </c>
    </row>
    <row r="15" spans="1:8" ht="15">
      <c r="A15" s="3" t="s">
        <v>26</v>
      </c>
      <c r="B15" s="13"/>
      <c r="C15" s="46">
        <f>'a st. of financial position bg'!C18</f>
        <v>3005</v>
      </c>
      <c r="D15" s="173"/>
      <c r="E15" s="46">
        <f>'a st. of financial position bg'!E18</f>
        <v>0</v>
      </c>
      <c r="F15" s="46"/>
      <c r="G15" s="46">
        <f>'a st. of financial position bg'!G18</f>
        <v>3268</v>
      </c>
      <c r="H15" s="46">
        <f>'a st. of financial position bg'!H18</f>
        <v>0</v>
      </c>
    </row>
    <row r="16" spans="1:10" ht="15.75" thickBot="1">
      <c r="A16" s="11" t="s">
        <v>27</v>
      </c>
      <c r="B16" s="13"/>
      <c r="C16" s="50">
        <f>SUM(C7:C15)</f>
        <v>128819</v>
      </c>
      <c r="D16" s="174"/>
      <c r="E16" s="50">
        <f>SUM(E7:E15)</f>
        <v>0</v>
      </c>
      <c r="F16" s="50"/>
      <c r="G16" s="50">
        <f>SUM(G7:G15)</f>
        <v>141636</v>
      </c>
      <c r="H16" s="50">
        <f>SUM(H7:H15)</f>
        <v>0</v>
      </c>
      <c r="J16" s="31"/>
    </row>
    <row r="17" spans="2:6" ht="15.75" thickTop="1">
      <c r="B17" s="13"/>
      <c r="C17" s="13"/>
      <c r="D17" s="172"/>
      <c r="E17" s="13"/>
      <c r="F17" s="13"/>
    </row>
    <row r="18" spans="1:8" ht="15">
      <c r="A18" s="12" t="s">
        <v>28</v>
      </c>
      <c r="B18" s="13"/>
      <c r="C18" s="46">
        <f>'a st. of financial position bg'!C21</f>
        <v>0</v>
      </c>
      <c r="D18" s="173"/>
      <c r="E18" s="46">
        <f>'a st. of financial position bg'!E21</f>
        <v>0</v>
      </c>
      <c r="F18" s="46"/>
      <c r="G18" s="46">
        <f>'a st. of financial position bg'!G21</f>
        <v>0</v>
      </c>
      <c r="H18" s="46">
        <f>'a st. of financial position bg'!H21</f>
        <v>0</v>
      </c>
    </row>
    <row r="19" spans="1:8" ht="15">
      <c r="A19" s="12"/>
      <c r="B19" s="13"/>
      <c r="C19" s="13"/>
      <c r="D19" s="172"/>
      <c r="E19" s="13"/>
      <c r="F19" s="13"/>
      <c r="G19" s="46"/>
      <c r="H19" s="49"/>
    </row>
    <row r="20" spans="1:8" ht="15">
      <c r="A20" s="12" t="s">
        <v>29</v>
      </c>
      <c r="B20" s="13"/>
      <c r="C20" s="13"/>
      <c r="D20" s="172"/>
      <c r="E20" s="13"/>
      <c r="F20" s="13"/>
      <c r="G20" s="49"/>
      <c r="H20" s="49"/>
    </row>
    <row r="21" spans="1:13" ht="15">
      <c r="A21" s="13" t="s">
        <v>30</v>
      </c>
      <c r="B21" s="13"/>
      <c r="C21" s="46">
        <f>'a st. of financial position bg'!C25</f>
        <v>38951</v>
      </c>
      <c r="D21" s="173"/>
      <c r="E21" s="46">
        <f>'a st. of financial position bg'!E25</f>
        <v>0</v>
      </c>
      <c r="F21" s="46"/>
      <c r="G21" s="46">
        <f>'a st. of financial position bg'!G25</f>
        <v>32173</v>
      </c>
      <c r="H21" s="46">
        <f>'a st. of financial position bg'!H25</f>
        <v>0</v>
      </c>
      <c r="M21" s="316"/>
    </row>
    <row r="22" spans="1:8" ht="15">
      <c r="A22" s="13" t="s">
        <v>31</v>
      </c>
      <c r="B22" s="13"/>
      <c r="C22" s="46">
        <f>'a st. of financial position bg'!C26</f>
        <v>6392</v>
      </c>
      <c r="D22" s="173"/>
      <c r="E22" s="46">
        <f>'a st. of financial position bg'!E26</f>
        <v>0</v>
      </c>
      <c r="F22" s="46"/>
      <c r="G22" s="46">
        <f>'a st. of financial position bg'!G26</f>
        <v>6589</v>
      </c>
      <c r="H22" s="46">
        <f>'a st. of financial position bg'!H26</f>
        <v>0</v>
      </c>
    </row>
    <row r="23" spans="1:8" ht="15">
      <c r="A23" s="13" t="s">
        <v>336</v>
      </c>
      <c r="B23" s="13"/>
      <c r="C23" s="46">
        <f>'a st. of financial position bg'!C27</f>
        <v>5176</v>
      </c>
      <c r="D23" s="173"/>
      <c r="E23" s="46"/>
      <c r="F23" s="46"/>
      <c r="G23" s="46">
        <f>'a st. of financial position bg'!G27</f>
        <v>7102</v>
      </c>
      <c r="H23" s="46"/>
    </row>
    <row r="24" spans="1:8" ht="15">
      <c r="A24" s="13" t="s">
        <v>32</v>
      </c>
      <c r="B24" s="13"/>
      <c r="C24" s="46">
        <f>'a st. of financial position bg'!C28</f>
        <v>475</v>
      </c>
      <c r="D24" s="173"/>
      <c r="E24" s="46">
        <f>'a st. of financial position bg'!E28</f>
        <v>0</v>
      </c>
      <c r="F24" s="46"/>
      <c r="G24" s="46">
        <f>'a st. of financial position bg'!G28</f>
        <v>236</v>
      </c>
      <c r="H24" s="46">
        <f>'a st. of financial position bg'!H28</f>
        <v>0</v>
      </c>
    </row>
    <row r="25" spans="1:8" ht="15">
      <c r="A25" s="13" t="s">
        <v>33</v>
      </c>
      <c r="B25" s="13"/>
      <c r="C25" s="46">
        <f>'a st. of financial position bg'!C29</f>
        <v>2677</v>
      </c>
      <c r="D25" s="173"/>
      <c r="E25" s="46">
        <f>'a st. of financial position bg'!E29</f>
        <v>0</v>
      </c>
      <c r="F25" s="46"/>
      <c r="G25" s="46">
        <f>'a st. of financial position bg'!G29</f>
        <v>2867</v>
      </c>
      <c r="H25" s="46">
        <f>'a st. of financial position bg'!H29</f>
        <v>0</v>
      </c>
    </row>
    <row r="26" spans="1:8" ht="15">
      <c r="A26" s="13" t="s">
        <v>34</v>
      </c>
      <c r="B26" s="13"/>
      <c r="C26" s="46">
        <f>'a st. of financial position bg'!C30</f>
        <v>14813</v>
      </c>
      <c r="D26" s="173"/>
      <c r="E26" s="46">
        <f>'a st. of financial position bg'!E30</f>
        <v>0</v>
      </c>
      <c r="F26" s="46"/>
      <c r="G26" s="46">
        <f>'a st. of financial position bg'!G30</f>
        <v>8480</v>
      </c>
      <c r="H26" s="46">
        <f>'a st. of financial position bg'!H30</f>
        <v>0</v>
      </c>
    </row>
    <row r="27" spans="1:8" ht="15.75" thickBot="1">
      <c r="A27" s="12"/>
      <c r="B27" s="13"/>
      <c r="C27" s="50">
        <f aca="true" t="shared" si="0" ref="C27:H27">SUM(C21:C26)</f>
        <v>68484</v>
      </c>
      <c r="D27" s="174"/>
      <c r="E27" s="50">
        <f t="shared" si="0"/>
        <v>0</v>
      </c>
      <c r="F27" s="50"/>
      <c r="G27" s="50">
        <f t="shared" si="0"/>
        <v>57447</v>
      </c>
      <c r="H27" s="50">
        <f t="shared" si="0"/>
        <v>0</v>
      </c>
    </row>
    <row r="28" spans="1:8" ht="15.75" thickTop="1">
      <c r="A28" s="12"/>
      <c r="B28" s="13"/>
      <c r="C28" s="41"/>
      <c r="D28" s="174"/>
      <c r="E28" s="41"/>
      <c r="F28" s="41"/>
      <c r="G28" s="41"/>
      <c r="H28" s="49"/>
    </row>
    <row r="29" spans="1:8" ht="15.75" thickBot="1">
      <c r="A29" s="12" t="s">
        <v>35</v>
      </c>
      <c r="B29" s="13"/>
      <c r="C29" s="48">
        <f aca="true" t="shared" si="1" ref="C29:H29">C16+C27+C18</f>
        <v>197303</v>
      </c>
      <c r="D29" s="174"/>
      <c r="E29" s="48">
        <f t="shared" si="1"/>
        <v>0</v>
      </c>
      <c r="F29" s="48"/>
      <c r="G29" s="48">
        <f t="shared" si="1"/>
        <v>199083</v>
      </c>
      <c r="H29" s="50">
        <f t="shared" si="1"/>
        <v>0</v>
      </c>
    </row>
    <row r="30" spans="1:8" ht="15.75" thickTop="1">
      <c r="A30" s="12" t="s">
        <v>36</v>
      </c>
      <c r="B30" s="13"/>
      <c r="C30" s="13"/>
      <c r="D30" s="172"/>
      <c r="E30" s="13"/>
      <c r="F30" s="13"/>
      <c r="G30" s="49"/>
      <c r="H30" s="49"/>
    </row>
    <row r="31" spans="1:8" ht="25.5">
      <c r="A31" s="12" t="s">
        <v>37</v>
      </c>
      <c r="B31" s="13"/>
      <c r="C31" s="13"/>
      <c r="D31" s="172"/>
      <c r="E31" s="13"/>
      <c r="F31" s="13"/>
      <c r="G31" s="49"/>
      <c r="H31" s="49"/>
    </row>
    <row r="32" spans="1:8" ht="15">
      <c r="A32" s="13" t="s">
        <v>38</v>
      </c>
      <c r="B32" s="13"/>
      <c r="C32" s="46">
        <f>'a st. of financial position bg'!C66</f>
        <v>18736</v>
      </c>
      <c r="D32" s="173"/>
      <c r="E32" s="46">
        <f>'a st. of financial position bg'!E66</f>
        <v>0</v>
      </c>
      <c r="F32" s="46"/>
      <c r="G32" s="46">
        <f>'a st. of financial position bg'!G66</f>
        <v>18736</v>
      </c>
      <c r="H32" s="46">
        <f>'a st. of financial position bg'!H66</f>
        <v>0</v>
      </c>
    </row>
    <row r="33" spans="1:8" ht="15">
      <c r="A33" s="13" t="s">
        <v>39</v>
      </c>
      <c r="B33" s="13"/>
      <c r="C33" s="46">
        <f>'a st. of financial position bg'!C67</f>
        <v>41450</v>
      </c>
      <c r="D33" s="173"/>
      <c r="E33" s="46">
        <f>'a st. of financial position bg'!E67</f>
        <v>0</v>
      </c>
      <c r="F33" s="46"/>
      <c r="G33" s="46">
        <f>'a st. of financial position bg'!G67</f>
        <v>44177</v>
      </c>
      <c r="H33" s="46">
        <f>'a st. of financial position bg'!H67</f>
        <v>0</v>
      </c>
    </row>
    <row r="34" spans="1:8" ht="15">
      <c r="A34" s="13" t="s">
        <v>40</v>
      </c>
      <c r="B34" s="13"/>
      <c r="C34" s="43">
        <f>'a st. of financial position bg'!C68</f>
        <v>7648</v>
      </c>
      <c r="D34" s="175"/>
      <c r="E34" s="43">
        <f>'a st. of financial position bg'!E68</f>
        <v>0</v>
      </c>
      <c r="F34" s="43"/>
      <c r="G34" s="43">
        <f>'a st. of financial position bg'!G68</f>
        <v>3191</v>
      </c>
      <c r="H34" s="51">
        <f>'a st. of financial position bg'!H68</f>
        <v>0</v>
      </c>
    </row>
    <row r="35" spans="1:8" ht="15.75" thickBot="1">
      <c r="A35" s="12"/>
      <c r="B35" s="13"/>
      <c r="C35" s="50">
        <f aca="true" t="shared" si="2" ref="C35:H35">SUM(C32:C34)</f>
        <v>67834</v>
      </c>
      <c r="D35" s="174"/>
      <c r="E35" s="50">
        <f t="shared" si="2"/>
        <v>0</v>
      </c>
      <c r="F35" s="50"/>
      <c r="G35" s="50">
        <f t="shared" si="2"/>
        <v>66104</v>
      </c>
      <c r="H35" s="50">
        <f t="shared" si="2"/>
        <v>0</v>
      </c>
    </row>
    <row r="36" spans="7:8" ht="15.75" thickTop="1">
      <c r="G36" s="42"/>
      <c r="H36" s="42"/>
    </row>
    <row r="37" spans="1:8" ht="15">
      <c r="A37" s="12" t="s">
        <v>218</v>
      </c>
      <c r="B37" s="13"/>
      <c r="C37" s="46">
        <f>'a st. of financial position bg'!C71</f>
        <v>23399</v>
      </c>
      <c r="D37" s="173"/>
      <c r="E37" s="46">
        <f>'a st. of financial position bg'!E71</f>
        <v>0</v>
      </c>
      <c r="F37" s="46"/>
      <c r="G37" s="46">
        <f>'a st. of financial position bg'!G71</f>
        <v>34860</v>
      </c>
      <c r="H37" s="46">
        <f>'a st. of financial position bg'!H71</f>
        <v>0</v>
      </c>
    </row>
    <row r="38" spans="1:8" ht="15">
      <c r="A38" s="12"/>
      <c r="B38" s="13"/>
      <c r="C38" s="13"/>
      <c r="D38" s="172"/>
      <c r="E38" s="13"/>
      <c r="F38" s="13"/>
      <c r="G38" s="46"/>
      <c r="H38" s="49"/>
    </row>
    <row r="39" spans="1:8" ht="15.75" thickBot="1">
      <c r="A39" s="12" t="s">
        <v>41</v>
      </c>
      <c r="B39" s="13"/>
      <c r="C39" s="50">
        <f aca="true" t="shared" si="3" ref="C39:H39">SUM(C35:C37)</f>
        <v>91233</v>
      </c>
      <c r="D39" s="174"/>
      <c r="E39" s="50">
        <f t="shared" si="3"/>
        <v>0</v>
      </c>
      <c r="F39" s="50"/>
      <c r="G39" s="50">
        <f t="shared" si="3"/>
        <v>100964</v>
      </c>
      <c r="H39" s="50">
        <f t="shared" si="3"/>
        <v>0</v>
      </c>
    </row>
    <row r="40" spans="1:8" ht="15.75" thickTop="1">
      <c r="A40" s="12"/>
      <c r="B40" s="13"/>
      <c r="C40" s="13"/>
      <c r="D40" s="172"/>
      <c r="E40" s="13"/>
      <c r="F40" s="13"/>
      <c r="G40" s="46"/>
      <c r="H40" s="49"/>
    </row>
    <row r="41" spans="1:8" ht="15">
      <c r="A41" s="12" t="s">
        <v>248</v>
      </c>
      <c r="B41" s="13"/>
      <c r="C41" s="46">
        <f>'a st. of financial position bg'!C75</f>
        <v>7091</v>
      </c>
      <c r="D41" s="173"/>
      <c r="E41" s="46">
        <f>'a st. of financial position bg'!E75</f>
        <v>0</v>
      </c>
      <c r="F41" s="46"/>
      <c r="G41" s="46">
        <f>'a st. of financial position bg'!G75</f>
        <v>8726</v>
      </c>
      <c r="H41" s="46">
        <f>'a st. of financial position bg'!H75</f>
        <v>0</v>
      </c>
    </row>
    <row r="42" spans="1:8" ht="15">
      <c r="A42" s="12"/>
      <c r="B42" s="13"/>
      <c r="C42" s="13"/>
      <c r="D42" s="172"/>
      <c r="E42" s="13"/>
      <c r="F42" s="13"/>
      <c r="G42" s="46"/>
      <c r="H42" s="49"/>
    </row>
    <row r="43" spans="1:8" ht="15">
      <c r="A43" s="29" t="s">
        <v>42</v>
      </c>
      <c r="B43" s="13"/>
      <c r="C43" s="13"/>
      <c r="D43" s="172"/>
      <c r="E43" s="13"/>
      <c r="F43" s="13"/>
      <c r="G43" s="49"/>
      <c r="H43" s="49"/>
    </row>
    <row r="44" spans="1:8" ht="15">
      <c r="A44" s="12" t="s">
        <v>43</v>
      </c>
      <c r="B44" s="13"/>
      <c r="C44" s="13"/>
      <c r="D44" s="172"/>
      <c r="E44" s="13"/>
      <c r="F44" s="13"/>
      <c r="G44" s="49"/>
      <c r="H44" s="49"/>
    </row>
    <row r="45" spans="1:8" ht="15">
      <c r="A45" s="13" t="s">
        <v>44</v>
      </c>
      <c r="B45" s="13"/>
      <c r="C45" s="46">
        <f>'a st. of financial position bg'!C78</f>
        <v>43291</v>
      </c>
      <c r="D45" s="173"/>
      <c r="E45" s="46">
        <f>'a st. of financial position bg'!E78</f>
        <v>0</v>
      </c>
      <c r="F45" s="46"/>
      <c r="G45" s="46">
        <f>'a st. of financial position bg'!G78</f>
        <v>34873</v>
      </c>
      <c r="H45" s="46">
        <f>'a st. of financial position bg'!H78</f>
        <v>0</v>
      </c>
    </row>
    <row r="46" spans="1:8" ht="15">
      <c r="A46" s="13" t="s">
        <v>108</v>
      </c>
      <c r="B46" s="13"/>
      <c r="C46" s="46">
        <f>'a st. of financial position bg'!C79</f>
        <v>5290</v>
      </c>
      <c r="D46" s="173"/>
      <c r="E46" s="46">
        <f>'a st. of financial position bg'!E79</f>
        <v>0</v>
      </c>
      <c r="F46" s="46"/>
      <c r="G46" s="46">
        <f>'a st. of financial position bg'!G79</f>
        <v>1408</v>
      </c>
      <c r="H46" s="46">
        <f>'a st. of financial position bg'!H79</f>
        <v>0</v>
      </c>
    </row>
    <row r="47" spans="1:8" ht="15">
      <c r="A47" s="13" t="s">
        <v>45</v>
      </c>
      <c r="B47" s="13"/>
      <c r="C47" s="46">
        <f>'a st. of financial position bg'!C80</f>
        <v>671</v>
      </c>
      <c r="D47" s="173"/>
      <c r="E47" s="46">
        <f>'a st. of financial position bg'!E80</f>
        <v>0</v>
      </c>
      <c r="F47" s="46"/>
      <c r="G47" s="46">
        <f>'a st. of financial position bg'!G80</f>
        <v>518</v>
      </c>
      <c r="H47" s="46">
        <f>'a st. of financial position bg'!H80</f>
        <v>0</v>
      </c>
    </row>
    <row r="48" spans="1:8" ht="15">
      <c r="A48" s="13" t="s">
        <v>46</v>
      </c>
      <c r="B48" s="13"/>
      <c r="C48" s="46">
        <f>'a st. of financial position bg'!C81</f>
        <v>2560</v>
      </c>
      <c r="D48" s="173"/>
      <c r="E48" s="46">
        <f>'a st. of financial position bg'!E81</f>
        <v>0</v>
      </c>
      <c r="F48" s="46"/>
      <c r="G48" s="46">
        <f>'a st. of financial position bg'!G81</f>
        <v>3080</v>
      </c>
      <c r="H48" s="46">
        <f>'a st. of financial position bg'!H81</f>
        <v>0</v>
      </c>
    </row>
    <row r="49" spans="1:8" ht="15">
      <c r="A49" s="13" t="s">
        <v>47</v>
      </c>
      <c r="B49" s="13"/>
      <c r="C49" s="46">
        <f>'a st. of financial position bg'!C82</f>
        <v>0</v>
      </c>
      <c r="D49" s="173"/>
      <c r="E49" s="46">
        <f>'a st. of financial position bg'!E82</f>
        <v>0</v>
      </c>
      <c r="F49" s="46"/>
      <c r="G49" s="46">
        <f>'a st. of financial position bg'!G82</f>
        <v>0</v>
      </c>
      <c r="H49" s="46">
        <f>'a st. of financial position bg'!H82</f>
        <v>0</v>
      </c>
    </row>
    <row r="50" spans="1:8" ht="15.75" thickBot="1">
      <c r="A50" s="12"/>
      <c r="B50" s="13"/>
      <c r="C50" s="50">
        <f aca="true" t="shared" si="4" ref="C50:H50">SUM(C45:C49)</f>
        <v>51812</v>
      </c>
      <c r="D50" s="174"/>
      <c r="E50" s="50">
        <f t="shared" si="4"/>
        <v>0</v>
      </c>
      <c r="F50" s="50"/>
      <c r="G50" s="50">
        <f t="shared" si="4"/>
        <v>39879</v>
      </c>
      <c r="H50" s="50">
        <f t="shared" si="4"/>
        <v>0</v>
      </c>
    </row>
    <row r="51" spans="1:8" ht="15.75" thickTop="1">
      <c r="A51" s="12" t="s">
        <v>48</v>
      </c>
      <c r="B51" s="13"/>
      <c r="C51" s="13"/>
      <c r="D51" s="172"/>
      <c r="E51" s="13"/>
      <c r="F51" s="13"/>
      <c r="G51" s="49"/>
      <c r="H51" s="49"/>
    </row>
    <row r="52" spans="1:8" ht="15">
      <c r="A52" s="3" t="s">
        <v>49</v>
      </c>
      <c r="B52" s="13"/>
      <c r="C52" s="46">
        <f>'a st. of financial position bg'!C85</f>
        <v>30033</v>
      </c>
      <c r="D52" s="173"/>
      <c r="E52" s="46">
        <f>'a st. of financial position bg'!E85</f>
        <v>0</v>
      </c>
      <c r="F52" s="46"/>
      <c r="G52" s="46">
        <f>'a st. of financial position bg'!G85</f>
        <v>24830</v>
      </c>
      <c r="H52" s="46">
        <f>'a st. of financial position bg'!H85</f>
        <v>0</v>
      </c>
    </row>
    <row r="53" spans="1:8" ht="15">
      <c r="A53" s="13" t="s">
        <v>50</v>
      </c>
      <c r="B53" s="13"/>
      <c r="C53" s="46">
        <f>'a st. of financial position bg'!C86</f>
        <v>16666</v>
      </c>
      <c r="D53" s="173"/>
      <c r="E53" s="46">
        <f>'a st. of financial position bg'!E86</f>
        <v>0</v>
      </c>
      <c r="F53" s="46"/>
      <c r="G53" s="46">
        <f>'a st. of financial position bg'!G86</f>
        <v>24097</v>
      </c>
      <c r="H53" s="46">
        <f>'a st. of financial position bg'!H86</f>
        <v>0</v>
      </c>
    </row>
    <row r="54" spans="1:8" ht="15">
      <c r="A54" s="108" t="s">
        <v>337</v>
      </c>
      <c r="B54" s="13"/>
      <c r="C54" s="46">
        <f>'a st. of financial position bg'!C87</f>
        <v>468</v>
      </c>
      <c r="D54" s="173"/>
      <c r="E54" s="46"/>
      <c r="F54" s="46"/>
      <c r="G54" s="46">
        <f>'a st. of financial position bg'!G87</f>
        <v>553</v>
      </c>
      <c r="H54" s="46"/>
    </row>
    <row r="55" spans="1:8" ht="15">
      <c r="A55" s="13" t="s">
        <v>51</v>
      </c>
      <c r="B55" s="13"/>
      <c r="C55" s="46">
        <f>'a st. of financial position bg'!C88</f>
        <v>0</v>
      </c>
      <c r="D55" s="173"/>
      <c r="E55" s="46">
        <f>'a st. of financial position bg'!E88</f>
        <v>0</v>
      </c>
      <c r="F55" s="46"/>
      <c r="G55" s="46">
        <f>'a st. of financial position bg'!G88</f>
        <v>28</v>
      </c>
      <c r="H55" s="46">
        <f>'a st. of financial position bg'!H88</f>
        <v>0</v>
      </c>
    </row>
    <row r="56" spans="1:8" ht="15">
      <c r="A56" s="13" t="s">
        <v>52</v>
      </c>
      <c r="B56" s="13"/>
      <c r="C56" s="46">
        <f>'a st. of financial position bg'!C89+'a st. of financial position bg'!C90</f>
        <v>0</v>
      </c>
      <c r="D56" s="173"/>
      <c r="E56" s="46">
        <f>'a st. of financial position bg'!E89+'a st. of financial position bg'!E90</f>
        <v>0</v>
      </c>
      <c r="F56" s="46"/>
      <c r="G56" s="46">
        <f>'a st. of financial position bg'!G89+'a st. of financial position bg'!G90</f>
        <v>6</v>
      </c>
      <c r="H56" s="46">
        <f>'a st. of financial position bg'!H89+'a st. of financial position bg'!H90</f>
        <v>0</v>
      </c>
    </row>
    <row r="57" spans="1:8" ht="15" hidden="1">
      <c r="A57" s="13" t="s">
        <v>129</v>
      </c>
      <c r="B57" s="13"/>
      <c r="C57" s="13"/>
      <c r="D57" s="172"/>
      <c r="E57" s="13"/>
      <c r="F57" s="13"/>
      <c r="G57" s="49"/>
      <c r="H57" s="47" t="s">
        <v>118</v>
      </c>
    </row>
    <row r="58" spans="1:8" ht="15.75" thickBot="1">
      <c r="A58" s="12"/>
      <c r="B58" s="13"/>
      <c r="C58" s="50">
        <f>SUM(C52:C57)</f>
        <v>47167</v>
      </c>
      <c r="D58" s="174"/>
      <c r="E58" s="50">
        <f>SUM(E52:E57)</f>
        <v>0</v>
      </c>
      <c r="F58" s="50"/>
      <c r="G58" s="50">
        <f>SUM(G52:G57)</f>
        <v>49514</v>
      </c>
      <c r="H58" s="50">
        <f>SUM(H52:H57)</f>
        <v>0</v>
      </c>
    </row>
    <row r="59" spans="1:8" ht="15.75" thickTop="1">
      <c r="A59" s="12" t="s">
        <v>53</v>
      </c>
      <c r="B59" s="13"/>
      <c r="C59" s="41">
        <f>C50+C58</f>
        <v>98979</v>
      </c>
      <c r="D59" s="174"/>
      <c r="E59" s="41">
        <f>E50+E58</f>
        <v>0</v>
      </c>
      <c r="F59" s="41"/>
      <c r="G59" s="41">
        <f>G50+G58</f>
        <v>89393</v>
      </c>
      <c r="H59" s="41">
        <f>H50+H58</f>
        <v>0</v>
      </c>
    </row>
    <row r="60" spans="1:8" ht="15.75" thickBot="1">
      <c r="A60" s="12" t="s">
        <v>54</v>
      </c>
      <c r="B60" s="13"/>
      <c r="C60" s="48">
        <f aca="true" t="shared" si="5" ref="C60:H60">C35+C41+C37+C50+C58</f>
        <v>197303</v>
      </c>
      <c r="D60" s="174"/>
      <c r="E60" s="48">
        <f t="shared" si="5"/>
        <v>0</v>
      </c>
      <c r="F60" s="48"/>
      <c r="G60" s="48">
        <f t="shared" si="5"/>
        <v>199083</v>
      </c>
      <c r="H60" s="48">
        <f t="shared" si="5"/>
        <v>0</v>
      </c>
    </row>
    <row r="61" ht="15.75" thickTop="1"/>
    <row r="63" spans="1:8" ht="15">
      <c r="A63" s="3"/>
      <c r="B63" s="3"/>
      <c r="C63" s="3"/>
      <c r="D63" s="113"/>
      <c r="E63" s="3"/>
      <c r="F63" s="3"/>
      <c r="G63" s="3"/>
      <c r="H63" s="3"/>
    </row>
    <row r="64" spans="1:8" ht="15">
      <c r="A64" s="3" t="s">
        <v>341</v>
      </c>
      <c r="B64" s="3"/>
      <c r="C64" s="3"/>
      <c r="D64" s="113"/>
      <c r="E64" s="3"/>
      <c r="F64" s="3"/>
      <c r="G64" s="3"/>
      <c r="H64" s="3"/>
    </row>
    <row r="65" spans="1:8" ht="15">
      <c r="A65" s="3" t="s">
        <v>217</v>
      </c>
      <c r="B65" s="3"/>
      <c r="C65" s="3"/>
      <c r="D65" s="113"/>
      <c r="E65" s="3"/>
      <c r="F65" s="3"/>
      <c r="G65" s="3"/>
      <c r="H65" s="3"/>
    </row>
    <row r="66" spans="1:8" ht="15">
      <c r="A66" s="3"/>
      <c r="B66" s="3"/>
      <c r="C66" s="3"/>
      <c r="D66" s="113"/>
      <c r="E66" s="3"/>
      <c r="F66" s="3"/>
      <c r="G66" s="3"/>
      <c r="H66" s="3"/>
    </row>
    <row r="67" spans="1:8" ht="15">
      <c r="A67" s="3"/>
      <c r="B67" s="3"/>
      <c r="C67" s="3"/>
      <c r="D67" s="113"/>
      <c r="E67" s="3"/>
      <c r="F67" s="3"/>
      <c r="G67" s="3"/>
      <c r="H67" s="3"/>
    </row>
    <row r="68" spans="1:8" ht="15">
      <c r="A68" s="3"/>
      <c r="B68" s="3"/>
      <c r="C68" s="3"/>
      <c r="D68" s="113"/>
      <c r="E68" s="3"/>
      <c r="F68" s="3"/>
      <c r="G68" s="3"/>
      <c r="H68" s="3"/>
    </row>
    <row r="69" spans="1:8" ht="15">
      <c r="A69" s="3" t="s">
        <v>55</v>
      </c>
      <c r="B69" s="3"/>
      <c r="C69" s="3"/>
      <c r="D69" s="113"/>
      <c r="E69" s="3"/>
      <c r="F69" s="3"/>
      <c r="G69" s="3" t="s">
        <v>272</v>
      </c>
      <c r="H69" s="3"/>
    </row>
    <row r="70" spans="1:8" ht="15">
      <c r="A70" s="9" t="s">
        <v>56</v>
      </c>
      <c r="B70" s="3"/>
      <c r="C70" s="3"/>
      <c r="D70" s="113"/>
      <c r="E70" s="3"/>
      <c r="F70" s="3"/>
      <c r="G70" s="9" t="s">
        <v>273</v>
      </c>
      <c r="H70" s="3"/>
    </row>
    <row r="71" spans="1:8" ht="15">
      <c r="A71" s="9" t="s">
        <v>58</v>
      </c>
      <c r="B71" s="3"/>
      <c r="C71" s="3"/>
      <c r="D71" s="113"/>
      <c r="E71" s="3"/>
      <c r="F71" s="3"/>
      <c r="H71" s="3"/>
    </row>
    <row r="72" spans="1:8" ht="15">
      <c r="A72" s="9"/>
      <c r="B72" s="3"/>
      <c r="C72" s="3"/>
      <c r="D72" s="113"/>
      <c r="E72" s="3"/>
      <c r="F72" s="3"/>
      <c r="G72" s="3"/>
      <c r="H72" s="3"/>
    </row>
    <row r="73" spans="1:8" ht="15">
      <c r="A73" s="9"/>
      <c r="B73" s="3"/>
      <c r="C73" s="3"/>
      <c r="D73" s="113"/>
      <c r="E73" s="3"/>
      <c r="F73" s="3"/>
      <c r="G73" s="3"/>
      <c r="H73" s="3"/>
    </row>
    <row r="74" spans="1:8" ht="15">
      <c r="A74" s="9"/>
      <c r="B74" s="3"/>
      <c r="C74" s="3"/>
      <c r="D74" s="113"/>
      <c r="E74" s="3"/>
      <c r="F74" s="3"/>
      <c r="G74" s="3"/>
      <c r="H74" s="3"/>
    </row>
    <row r="76" ht="15">
      <c r="A76" s="3" t="s">
        <v>277</v>
      </c>
    </row>
    <row r="77" ht="15">
      <c r="A77" s="9" t="s">
        <v>57</v>
      </c>
    </row>
  </sheetData>
  <sheetProtection/>
  <printOptions/>
  <pageMargins left="0.66" right="0.21" top="0.63" bottom="1" header="0.5" footer="0.5"/>
  <pageSetup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57"/>
  <sheetViews>
    <sheetView zoomScalePageLayoutView="0" workbookViewId="0" topLeftCell="A1">
      <selection activeCell="D5" sqref="D5:H5"/>
    </sheetView>
  </sheetViews>
  <sheetFormatPr defaultColWidth="9.140625" defaultRowHeight="12.75"/>
  <cols>
    <col min="1" max="1" width="2.7109375" style="5" customWidth="1"/>
    <col min="2" max="2" width="41.421875" style="5" customWidth="1"/>
    <col min="3" max="3" width="1.28515625" style="5" customWidth="1"/>
    <col min="4" max="4" width="20.421875" style="5" customWidth="1"/>
    <col min="5" max="5" width="3.421875" style="124" customWidth="1"/>
    <col min="6" max="6" width="15.00390625" style="5" hidden="1" customWidth="1"/>
    <col min="7" max="7" width="15.7109375" style="5" hidden="1" customWidth="1"/>
    <col min="8" max="8" width="20.00390625" style="5" customWidth="1"/>
    <col min="9" max="9" width="16.00390625" style="5" hidden="1" customWidth="1"/>
    <col min="10" max="16384" width="9.140625" style="5" customWidth="1"/>
  </cols>
  <sheetData>
    <row r="1" spans="2:7" ht="27.75" customHeight="1">
      <c r="B1" s="18" t="s">
        <v>244</v>
      </c>
      <c r="C1" s="18"/>
      <c r="D1" s="18"/>
      <c r="E1" s="176"/>
      <c r="F1" s="18"/>
      <c r="G1" s="4"/>
    </row>
    <row r="2" spans="2:8" ht="24" customHeight="1">
      <c r="B2" s="18" t="s">
        <v>159</v>
      </c>
      <c r="C2" s="18"/>
      <c r="D2" s="18"/>
      <c r="E2" s="176"/>
      <c r="F2" s="18"/>
      <c r="H2" s="19" t="str">
        <f>'a st. of financial position en'!G1</f>
        <v>Annual Consolidated Financial Statements</v>
      </c>
    </row>
    <row r="3" spans="2:8" ht="15">
      <c r="B3" s="4"/>
      <c r="C3" s="4"/>
      <c r="D3" s="4"/>
      <c r="E3" s="177"/>
      <c r="F3" s="4"/>
      <c r="G3" s="4"/>
      <c r="H3" s="4" t="str">
        <f>'a st. of financial position en'!G2</f>
        <v>For the period ended 31 December 2018</v>
      </c>
    </row>
    <row r="4" spans="7:9" ht="15">
      <c r="G4" s="14"/>
      <c r="I4" s="14"/>
    </row>
    <row r="5" spans="2:9" ht="17.25" customHeight="1">
      <c r="B5" s="27" t="s">
        <v>18</v>
      </c>
      <c r="C5" s="27"/>
      <c r="D5" s="170">
        <f>'a st. of financial position en'!C4</f>
        <v>43465</v>
      </c>
      <c r="E5" s="210"/>
      <c r="F5" s="170"/>
      <c r="G5" s="170">
        <f>'a st. of financial position en'!F4</f>
        <v>0</v>
      </c>
      <c r="H5" s="170">
        <f>'a st. of financial position en'!G4</f>
        <v>43100</v>
      </c>
      <c r="I5" s="28">
        <f>'a st. of financial position en'!H4</f>
        <v>0</v>
      </c>
    </row>
    <row r="6" spans="2:9" ht="15">
      <c r="B6" s="12"/>
      <c r="C6" s="12"/>
      <c r="D6" s="12"/>
      <c r="E6" s="179"/>
      <c r="F6" s="12"/>
      <c r="G6" s="12"/>
      <c r="H6" s="10"/>
      <c r="I6" s="10"/>
    </row>
    <row r="7" spans="2:9" ht="15">
      <c r="B7" s="13" t="s">
        <v>308</v>
      </c>
      <c r="C7" s="13"/>
      <c r="D7" s="43">
        <f>'a st.of comprehensive income bg'!C7</f>
        <v>138698</v>
      </c>
      <c r="E7" s="175">
        <f>'a st.of comprehensive income bg'!D7</f>
        <v>0</v>
      </c>
      <c r="F7" s="43">
        <f>'a st.of comprehensive income bg'!E7</f>
        <v>0</v>
      </c>
      <c r="G7" s="43">
        <f>'a st.of comprehensive income bg'!F7</f>
        <v>0</v>
      </c>
      <c r="H7" s="43">
        <f>'a st.of comprehensive income bg'!G7</f>
        <v>132860</v>
      </c>
      <c r="I7" s="43">
        <f>'a st.of comprehensive income bg'!H7</f>
        <v>0</v>
      </c>
    </row>
    <row r="8" spans="2:9" ht="15">
      <c r="B8" s="13" t="s">
        <v>309</v>
      </c>
      <c r="C8" s="13"/>
      <c r="D8" s="43">
        <f>'a st.of comprehensive income bg'!C8</f>
        <v>8695</v>
      </c>
      <c r="E8" s="175">
        <f>'a st.of comprehensive income bg'!D8</f>
        <v>0</v>
      </c>
      <c r="F8" s="43">
        <f>'a st.of comprehensive income bg'!E8</f>
        <v>0</v>
      </c>
      <c r="G8" s="43">
        <f>'a st.of comprehensive income bg'!F8</f>
        <v>0</v>
      </c>
      <c r="H8" s="43">
        <f>'a st.of comprehensive income bg'!G8</f>
        <v>569</v>
      </c>
      <c r="I8" s="43">
        <f>'a st.of comprehensive income bg'!H8+'a st.of comprehensive income bg'!H11</f>
        <v>0</v>
      </c>
    </row>
    <row r="9" spans="2:9" ht="15">
      <c r="B9" s="13" t="s">
        <v>311</v>
      </c>
      <c r="C9" s="13"/>
      <c r="D9" s="43">
        <f>'a st.of comprehensive income bg'!C10</f>
        <v>-67711</v>
      </c>
      <c r="E9" s="175">
        <f>'a st.of comprehensive income bg'!D10</f>
        <v>0</v>
      </c>
      <c r="F9" s="43">
        <f>'a st.of comprehensive income bg'!E10</f>
        <v>0</v>
      </c>
      <c r="G9" s="43">
        <f>'a st.of comprehensive income bg'!F10</f>
        <v>0</v>
      </c>
      <c r="H9" s="43">
        <f>'a st.of comprehensive income bg'!G10</f>
        <v>-62690</v>
      </c>
      <c r="I9" s="43"/>
    </row>
    <row r="10" spans="2:9" ht="25.5">
      <c r="B10" s="13" t="s">
        <v>310</v>
      </c>
      <c r="C10" s="13"/>
      <c r="D10" s="43">
        <f>'a st.of comprehensive income bg'!C11</f>
        <v>2872</v>
      </c>
      <c r="E10" s="175">
        <f>'a st.of comprehensive income bg'!D11</f>
        <v>0</v>
      </c>
      <c r="F10" s="43">
        <f>'a st.of comprehensive income bg'!E11</f>
        <v>0</v>
      </c>
      <c r="G10" s="43">
        <f>'a st.of comprehensive income bg'!F11</f>
        <v>0</v>
      </c>
      <c r="H10" s="43">
        <f>'a st.of comprehensive income bg'!G11</f>
        <v>2235</v>
      </c>
      <c r="I10" s="43"/>
    </row>
    <row r="11" spans="2:9" ht="15">
      <c r="B11" s="96" t="s">
        <v>312</v>
      </c>
      <c r="C11" s="96"/>
      <c r="D11" s="43">
        <f>'a st.of comprehensive income bg'!C12</f>
        <v>1570</v>
      </c>
      <c r="E11" s="175">
        <f>'a st.of comprehensive income bg'!D12</f>
        <v>0</v>
      </c>
      <c r="F11" s="43">
        <f>'a st.of comprehensive income bg'!E12</f>
        <v>0</v>
      </c>
      <c r="G11" s="43">
        <f>'a st.of comprehensive income bg'!F12</f>
        <v>0</v>
      </c>
      <c r="H11" s="43">
        <f>'a st.of comprehensive income bg'!G12</f>
        <v>-4218</v>
      </c>
      <c r="I11" s="43"/>
    </row>
    <row r="12" spans="2:9" ht="15">
      <c r="B12" s="96" t="s">
        <v>313</v>
      </c>
      <c r="C12" s="96"/>
      <c r="D12" s="43">
        <f>'a st.of comprehensive income bg'!C13</f>
        <v>-10176</v>
      </c>
      <c r="E12" s="175">
        <f>'a st.of comprehensive income bg'!D13</f>
        <v>0</v>
      </c>
      <c r="F12" s="43">
        <f>'a st.of comprehensive income bg'!E13</f>
        <v>0</v>
      </c>
      <c r="G12" s="43">
        <f>'a st.of comprehensive income bg'!F13</f>
        <v>0</v>
      </c>
      <c r="H12" s="43">
        <f>'a st.of comprehensive income bg'!G13</f>
        <v>-9077</v>
      </c>
      <c r="I12" s="43"/>
    </row>
    <row r="13" spans="2:9" ht="15">
      <c r="B13" s="96" t="s">
        <v>314</v>
      </c>
      <c r="C13" s="96"/>
      <c r="D13" s="43">
        <f>'a st.of comprehensive income bg'!C14</f>
        <v>-1090</v>
      </c>
      <c r="E13" s="175">
        <f>'a st.of comprehensive income bg'!D14</f>
        <v>0</v>
      </c>
      <c r="F13" s="43">
        <f>'a st.of comprehensive income bg'!E14</f>
        <v>0</v>
      </c>
      <c r="G13" s="43">
        <f>'a st.of comprehensive income bg'!F14</f>
        <v>0</v>
      </c>
      <c r="H13" s="43">
        <f>'a st.of comprehensive income bg'!G14</f>
        <v>-1507</v>
      </c>
      <c r="I13" s="43"/>
    </row>
    <row r="14" spans="2:9" ht="13.5" customHeight="1">
      <c r="B14" s="3" t="s">
        <v>59</v>
      </c>
      <c r="C14" s="3"/>
      <c r="D14" s="43">
        <f>'a st.of comprehensive income bg'!C15</f>
        <v>-10987</v>
      </c>
      <c r="E14" s="175">
        <f>'a st.of comprehensive income bg'!D15</f>
        <v>0</v>
      </c>
      <c r="F14" s="43">
        <f>'a st.of comprehensive income bg'!E15</f>
        <v>0</v>
      </c>
      <c r="G14" s="43">
        <f>'a st.of comprehensive income bg'!F15</f>
        <v>0</v>
      </c>
      <c r="H14" s="43">
        <f>'a st.of comprehensive income bg'!G15</f>
        <v>-10014</v>
      </c>
      <c r="I14" s="43">
        <f>'a st.of comprehensive income bg'!H15</f>
        <v>0</v>
      </c>
    </row>
    <row r="15" spans="2:11" ht="15">
      <c r="B15" s="30" t="s">
        <v>60</v>
      </c>
      <c r="C15" s="30"/>
      <c r="D15" s="43">
        <f>'a st.of comprehensive income bg'!C16</f>
        <v>-20207</v>
      </c>
      <c r="E15" s="175">
        <f>'a st.of comprehensive income bg'!D16</f>
        <v>0</v>
      </c>
      <c r="F15" s="43">
        <f>'a st.of comprehensive income bg'!E16</f>
        <v>0</v>
      </c>
      <c r="G15" s="43">
        <f>'a st.of comprehensive income bg'!F16</f>
        <v>0</v>
      </c>
      <c r="H15" s="43">
        <f>'a st.of comprehensive income bg'!G16</f>
        <v>-17202</v>
      </c>
      <c r="I15" s="43">
        <f>'a st.of comprehensive income bg'!H16</f>
        <v>0</v>
      </c>
      <c r="K15" s="16"/>
    </row>
    <row r="16" spans="2:9" ht="15">
      <c r="B16" s="3" t="s">
        <v>61</v>
      </c>
      <c r="C16" s="3"/>
      <c r="D16" s="43">
        <f>'a st.of comprehensive income bg'!C17</f>
        <v>-26815</v>
      </c>
      <c r="E16" s="175">
        <f>'a st.of comprehensive income bg'!D17</f>
        <v>0</v>
      </c>
      <c r="F16" s="43">
        <f>'a st.of comprehensive income bg'!E17</f>
        <v>0</v>
      </c>
      <c r="G16" s="43">
        <f>'a st.of comprehensive income bg'!F17</f>
        <v>0</v>
      </c>
      <c r="H16" s="43">
        <f>'a st.of comprehensive income bg'!G17</f>
        <v>-23468</v>
      </c>
      <c r="I16" s="43">
        <f>'a st.of comprehensive income bg'!H17</f>
        <v>0</v>
      </c>
    </row>
    <row r="17" spans="2:9" ht="15">
      <c r="B17" s="3" t="s">
        <v>62</v>
      </c>
      <c r="C17" s="3"/>
      <c r="D17" s="43">
        <f>'a st.of comprehensive income bg'!C18</f>
        <v>-5324</v>
      </c>
      <c r="E17" s="175">
        <f>'a st.of comprehensive income bg'!D18</f>
        <v>0</v>
      </c>
      <c r="F17" s="43">
        <f>'a st.of comprehensive income bg'!E18</f>
        <v>0</v>
      </c>
      <c r="G17" s="43">
        <f>'a st.of comprehensive income bg'!F18</f>
        <v>0</v>
      </c>
      <c r="H17" s="43">
        <f>'a st.of comprehensive income bg'!G18</f>
        <v>-5056</v>
      </c>
      <c r="I17" s="43">
        <f>'a st.of comprehensive income bg'!H18</f>
        <v>0</v>
      </c>
    </row>
    <row r="18" spans="2:9" ht="15">
      <c r="B18" s="3" t="s">
        <v>63</v>
      </c>
      <c r="C18" s="3"/>
      <c r="D18" s="43">
        <f>'a st.of comprehensive income bg'!C19</f>
        <v>-3361</v>
      </c>
      <c r="E18" s="175">
        <f>'a st.of comprehensive income bg'!D19</f>
        <v>0</v>
      </c>
      <c r="F18" s="43">
        <f>'a st.of comprehensive income bg'!E19</f>
        <v>0</v>
      </c>
      <c r="G18" s="43">
        <f>'a st.of comprehensive income bg'!F19</f>
        <v>0</v>
      </c>
      <c r="H18" s="43">
        <f>'a st.of comprehensive income bg'!G19</f>
        <v>-3567</v>
      </c>
      <c r="I18" s="43">
        <f>'a st.of comprehensive income bg'!H19</f>
        <v>0</v>
      </c>
    </row>
    <row r="19" spans="2:9" ht="15">
      <c r="B19" s="13" t="s">
        <v>64</v>
      </c>
      <c r="C19" s="13"/>
      <c r="D19" s="43">
        <f>'a st.of comprehensive income bg'!C20</f>
        <v>-1392</v>
      </c>
      <c r="E19" s="175">
        <f>'a st.of comprehensive income bg'!D20</f>
        <v>0</v>
      </c>
      <c r="F19" s="43">
        <f>'a st.of comprehensive income bg'!E20</f>
        <v>0</v>
      </c>
      <c r="G19" s="43">
        <f>'a st.of comprehensive income bg'!F20</f>
        <v>0</v>
      </c>
      <c r="H19" s="43">
        <f>'a st.of comprehensive income bg'!G20</f>
        <v>610</v>
      </c>
      <c r="I19" s="43">
        <f>'a st.of comprehensive income bg'!H20</f>
        <v>0</v>
      </c>
    </row>
    <row r="20" spans="2:11" ht="15" hidden="1">
      <c r="B20" s="3" t="s">
        <v>65</v>
      </c>
      <c r="C20" s="3"/>
      <c r="D20" s="3"/>
      <c r="E20" s="113"/>
      <c r="F20" s="3"/>
      <c r="G20" s="13"/>
      <c r="H20" s="43">
        <f>'a st.of comprehensive income bg'!G21</f>
        <v>0</v>
      </c>
      <c r="I20" s="43">
        <f>'a st.of comprehensive income bg'!H21</f>
        <v>0</v>
      </c>
      <c r="J20" s="16"/>
      <c r="K20" s="16"/>
    </row>
    <row r="21" spans="2:12" ht="15.75" thickBot="1">
      <c r="B21" s="11" t="s">
        <v>316</v>
      </c>
      <c r="C21" s="11"/>
      <c r="D21" s="45">
        <f aca="true" t="shared" si="0" ref="D21:I21">SUM(D7:D20)</f>
        <v>4772</v>
      </c>
      <c r="E21" s="180">
        <f t="shared" si="0"/>
        <v>0</v>
      </c>
      <c r="F21" s="45">
        <f t="shared" si="0"/>
        <v>0</v>
      </c>
      <c r="G21" s="45">
        <f t="shared" si="0"/>
        <v>0</v>
      </c>
      <c r="H21" s="45">
        <f t="shared" si="0"/>
        <v>-525</v>
      </c>
      <c r="I21" s="45">
        <f t="shared" si="0"/>
        <v>0</v>
      </c>
      <c r="J21" s="16"/>
      <c r="K21" s="16"/>
      <c r="L21" s="16"/>
    </row>
    <row r="22" spans="2:12" ht="15.75" thickTop="1">
      <c r="B22" s="96" t="s">
        <v>315</v>
      </c>
      <c r="C22" s="96"/>
      <c r="D22" s="44">
        <f>'a st.of comprehensive income bg'!C23</f>
        <v>18</v>
      </c>
      <c r="E22" s="180">
        <f>'a st.of comprehensive income bg'!D23</f>
        <v>0</v>
      </c>
      <c r="F22" s="44">
        <f>'a st.of comprehensive income bg'!E23</f>
        <v>0</v>
      </c>
      <c r="G22" s="44">
        <f>'a st.of comprehensive income bg'!F23</f>
        <v>0</v>
      </c>
      <c r="H22" s="44">
        <f>'a st.of comprehensive income bg'!G23</f>
        <v>770</v>
      </c>
      <c r="I22" s="44"/>
      <c r="J22" s="16"/>
      <c r="K22" s="16"/>
      <c r="L22" s="16"/>
    </row>
    <row r="23" spans="2:12" ht="15">
      <c r="B23" s="11" t="s">
        <v>66</v>
      </c>
      <c r="C23" s="11"/>
      <c r="D23" s="44">
        <f>D21+D22</f>
        <v>4790</v>
      </c>
      <c r="E23" s="180">
        <f>E21+E22</f>
        <v>0</v>
      </c>
      <c r="F23" s="44">
        <f>F21+F22</f>
        <v>0</v>
      </c>
      <c r="G23" s="44">
        <f>G21+G22</f>
        <v>0</v>
      </c>
      <c r="H23" s="44">
        <f>H21+H22</f>
        <v>245</v>
      </c>
      <c r="I23" s="44"/>
      <c r="J23" s="16"/>
      <c r="K23" s="16"/>
      <c r="L23" s="16"/>
    </row>
    <row r="24" spans="2:14" ht="15">
      <c r="B24" s="3" t="s">
        <v>67</v>
      </c>
      <c r="C24" s="3"/>
      <c r="D24" s="43">
        <f>'a st.of comprehensive income bg'!C26</f>
        <v>-720</v>
      </c>
      <c r="E24" s="175">
        <f>'a st.of comprehensive income bg'!D26</f>
        <v>0</v>
      </c>
      <c r="F24" s="43">
        <f>'a st.of comprehensive income bg'!E26</f>
        <v>0</v>
      </c>
      <c r="G24" s="43">
        <f>'a st.of comprehensive income bg'!F26</f>
        <v>0</v>
      </c>
      <c r="H24" s="43">
        <f>'a st.of comprehensive income bg'!G26</f>
        <v>-631</v>
      </c>
      <c r="I24" s="43">
        <f>'a st.of comprehensive income bg'!H26</f>
        <v>0</v>
      </c>
      <c r="K24" s="16"/>
      <c r="L24" s="16"/>
      <c r="N24" s="16"/>
    </row>
    <row r="25" spans="2:9" ht="15.75" thickBot="1">
      <c r="B25" s="11" t="s">
        <v>326</v>
      </c>
      <c r="C25" s="11"/>
      <c r="D25" s="45">
        <f>D23+D24</f>
        <v>4070</v>
      </c>
      <c r="E25" s="180">
        <f>E23+E24</f>
        <v>0</v>
      </c>
      <c r="F25" s="45">
        <f>F23+F24</f>
        <v>0</v>
      </c>
      <c r="G25" s="45">
        <f>G23+G24</f>
        <v>0</v>
      </c>
      <c r="H25" s="45">
        <f>H23+H24</f>
        <v>-386</v>
      </c>
      <c r="I25" s="45">
        <f>I21+I24</f>
        <v>0</v>
      </c>
    </row>
    <row r="26" spans="2:9" ht="15.75" thickTop="1">
      <c r="B26" s="11"/>
      <c r="C26" s="11"/>
      <c r="D26" s="11"/>
      <c r="E26" s="181"/>
      <c r="F26" s="11"/>
      <c r="G26" s="12"/>
      <c r="H26" s="44"/>
      <c r="I26" s="44"/>
    </row>
    <row r="27" spans="2:9" ht="15">
      <c r="B27" s="13" t="s">
        <v>263</v>
      </c>
      <c r="C27" s="13"/>
      <c r="D27" s="43">
        <f>'a st.of comprehensive income bg'!C29</f>
        <v>18</v>
      </c>
      <c r="E27" s="175">
        <f>'a st.of comprehensive income bg'!D29</f>
        <v>0</v>
      </c>
      <c r="F27" s="43">
        <f>'a st.of comprehensive income bg'!E29</f>
        <v>0</v>
      </c>
      <c r="G27" s="43">
        <f>'a st.of comprehensive income bg'!F29</f>
        <v>0</v>
      </c>
      <c r="H27" s="43">
        <f>'a st.of comprehensive income bg'!G29</f>
        <v>27</v>
      </c>
      <c r="I27" s="43">
        <f>'a st.of comprehensive income bg'!H29</f>
        <v>0</v>
      </c>
    </row>
    <row r="28" spans="2:9" ht="15.75" thickBot="1">
      <c r="B28" s="11" t="s">
        <v>326</v>
      </c>
      <c r="C28" s="11"/>
      <c r="D28" s="103">
        <f>D25+D27</f>
        <v>4088</v>
      </c>
      <c r="E28" s="180">
        <f>E25+E27</f>
        <v>0</v>
      </c>
      <c r="F28" s="103">
        <f>F25+F27</f>
        <v>0</v>
      </c>
      <c r="G28" s="103">
        <f>G25+G27</f>
        <v>0</v>
      </c>
      <c r="H28" s="103">
        <f>H25+H27</f>
        <v>-359</v>
      </c>
      <c r="I28" s="103"/>
    </row>
    <row r="29" spans="2:11" ht="15.75" thickTop="1">
      <c r="B29" s="12" t="s">
        <v>207</v>
      </c>
      <c r="C29" s="12"/>
      <c r="D29" s="12"/>
      <c r="E29" s="179"/>
      <c r="F29" s="12"/>
      <c r="G29" s="12"/>
      <c r="H29" s="44"/>
      <c r="I29" s="44"/>
      <c r="K29" s="16"/>
    </row>
    <row r="30" spans="2:11" ht="15" hidden="1">
      <c r="B30" s="37" t="s">
        <v>220</v>
      </c>
      <c r="C30" s="37"/>
      <c r="D30" s="37"/>
      <c r="E30" s="182"/>
      <c r="F30" s="37"/>
      <c r="G30" s="12"/>
      <c r="H30" s="43">
        <f>'a st.of comprehensive income bg'!G33</f>
        <v>0</v>
      </c>
      <c r="I30" s="43">
        <f>'a st.of comprehensive income bg'!H33</f>
        <v>0</v>
      </c>
      <c r="K30" s="16"/>
    </row>
    <row r="31" spans="2:11" ht="15">
      <c r="B31" s="13" t="s">
        <v>219</v>
      </c>
      <c r="C31" s="13"/>
      <c r="D31" s="43">
        <f>'a st.of comprehensive income bg'!C34</f>
        <v>-115</v>
      </c>
      <c r="E31" s="175">
        <f>'a st.of comprehensive income bg'!D34</f>
        <v>0</v>
      </c>
      <c r="F31" s="43">
        <f>'a st.of comprehensive income bg'!E34</f>
        <v>0</v>
      </c>
      <c r="G31" s="43">
        <f>'a st.of comprehensive income bg'!F34</f>
        <v>0</v>
      </c>
      <c r="H31" s="43">
        <f>'a st.of comprehensive income bg'!G34</f>
        <v>-467</v>
      </c>
      <c r="I31" s="43">
        <f>'a st.of comprehensive income bg'!H34</f>
        <v>0</v>
      </c>
      <c r="K31" s="16"/>
    </row>
    <row r="32" spans="2:11" ht="15">
      <c r="B32" s="13" t="s">
        <v>317</v>
      </c>
      <c r="C32" s="13"/>
      <c r="D32" s="43">
        <f>'a st.of comprehensive income bg'!C35</f>
        <v>21</v>
      </c>
      <c r="E32" s="175">
        <f>'a st.of comprehensive income bg'!D35</f>
        <v>0</v>
      </c>
      <c r="F32" s="43">
        <f>'a st.of comprehensive income bg'!E35</f>
        <v>0</v>
      </c>
      <c r="G32" s="43">
        <f>'a st.of comprehensive income bg'!F35</f>
        <v>0</v>
      </c>
      <c r="H32" s="43">
        <f>'a st.of comprehensive income bg'!G35</f>
        <v>-115</v>
      </c>
      <c r="I32" s="43"/>
      <c r="K32" s="16"/>
    </row>
    <row r="33" spans="2:11" ht="15.75" thickBot="1">
      <c r="B33" s="12" t="s">
        <v>208</v>
      </c>
      <c r="C33" s="12"/>
      <c r="D33" s="45">
        <f>SUM(D30:D32)</f>
        <v>-94</v>
      </c>
      <c r="E33" s="180">
        <f>SUM(E30:E32)</f>
        <v>0</v>
      </c>
      <c r="F33" s="45">
        <f>SUM(F30:F32)</f>
        <v>0</v>
      </c>
      <c r="G33" s="45">
        <f>SUM(G30:G32)</f>
        <v>0</v>
      </c>
      <c r="H33" s="45">
        <f>SUM(H30:H32)</f>
        <v>-582</v>
      </c>
      <c r="I33" s="45">
        <f>SUM(I30:I31)</f>
        <v>0</v>
      </c>
      <c r="K33" s="16"/>
    </row>
    <row r="34" spans="2:11" ht="16.5" thickBot="1" thickTop="1">
      <c r="B34" s="12" t="s">
        <v>209</v>
      </c>
      <c r="C34" s="12"/>
      <c r="D34" s="45">
        <f>D28+D33</f>
        <v>3994</v>
      </c>
      <c r="E34" s="180">
        <f>E28+E33</f>
        <v>0</v>
      </c>
      <c r="F34" s="45">
        <f>F28+F33</f>
        <v>0</v>
      </c>
      <c r="G34" s="45">
        <f>G28+G33</f>
        <v>0</v>
      </c>
      <c r="H34" s="45">
        <f>H28+H33</f>
        <v>-941</v>
      </c>
      <c r="I34" s="45">
        <f>I25+I33</f>
        <v>0</v>
      </c>
      <c r="K34" s="16"/>
    </row>
    <row r="35" spans="2:11" ht="15.75" thickTop="1">
      <c r="B35" s="12"/>
      <c r="C35" s="12"/>
      <c r="D35" s="12"/>
      <c r="E35" s="179"/>
      <c r="F35" s="12"/>
      <c r="G35" s="12"/>
      <c r="H35" s="44"/>
      <c r="I35" s="44"/>
      <c r="K35" s="16"/>
    </row>
    <row r="36" spans="2:11" ht="15">
      <c r="B36" s="12" t="s">
        <v>210</v>
      </c>
      <c r="C36" s="12"/>
      <c r="D36" s="12"/>
      <c r="E36" s="179"/>
      <c r="F36" s="12"/>
      <c r="G36" s="12"/>
      <c r="H36" s="44"/>
      <c r="I36" s="44"/>
      <c r="K36" s="16"/>
    </row>
    <row r="37" spans="2:11" ht="15">
      <c r="B37" s="13" t="s">
        <v>211</v>
      </c>
      <c r="C37" s="13"/>
      <c r="D37" s="43">
        <f>'a st.of comprehensive income bg'!C41</f>
        <v>1917</v>
      </c>
      <c r="E37" s="175">
        <f>'a st.of comprehensive income bg'!D41</f>
        <v>0</v>
      </c>
      <c r="F37" s="43">
        <f>'a st.of comprehensive income bg'!E41</f>
        <v>0</v>
      </c>
      <c r="G37" s="43">
        <f>'a st.of comprehensive income bg'!F41</f>
        <v>0</v>
      </c>
      <c r="H37" s="43">
        <f>'a st.of comprehensive income bg'!G41</f>
        <v>-1463</v>
      </c>
      <c r="I37" s="43">
        <f>'a st.of comprehensive income bg'!H41</f>
        <v>0</v>
      </c>
      <c r="K37" s="16"/>
    </row>
    <row r="38" spans="2:11" ht="15">
      <c r="B38" s="13" t="s">
        <v>218</v>
      </c>
      <c r="C38" s="13"/>
      <c r="D38" s="43">
        <f>'a st.of comprehensive income bg'!C42</f>
        <v>2171</v>
      </c>
      <c r="E38" s="175">
        <f>'a st.of comprehensive income bg'!D42</f>
        <v>0</v>
      </c>
      <c r="F38" s="43">
        <f>'a st.of comprehensive income bg'!E42</f>
        <v>0</v>
      </c>
      <c r="G38" s="43">
        <f>'a st.of comprehensive income bg'!F42</f>
        <v>0</v>
      </c>
      <c r="H38" s="43">
        <f>'a st.of comprehensive income bg'!G42</f>
        <v>1104</v>
      </c>
      <c r="I38" s="43">
        <f>'a st.of comprehensive income bg'!H42</f>
        <v>0</v>
      </c>
      <c r="K38" s="16"/>
    </row>
    <row r="39" spans="2:11" ht="15.75" thickBot="1">
      <c r="B39" s="13"/>
      <c r="C39" s="13"/>
      <c r="D39" s="45">
        <f aca="true" t="shared" si="1" ref="D39:I39">SUM(D37:D38)</f>
        <v>4088</v>
      </c>
      <c r="E39" s="180">
        <f t="shared" si="1"/>
        <v>0</v>
      </c>
      <c r="F39" s="45">
        <f t="shared" si="1"/>
        <v>0</v>
      </c>
      <c r="G39" s="45">
        <f t="shared" si="1"/>
        <v>0</v>
      </c>
      <c r="H39" s="45">
        <f t="shared" si="1"/>
        <v>-359</v>
      </c>
      <c r="I39" s="45">
        <f t="shared" si="1"/>
        <v>0</v>
      </c>
      <c r="K39" s="16"/>
    </row>
    <row r="40" spans="2:11" ht="15.75" thickTop="1">
      <c r="B40" s="12" t="s">
        <v>212</v>
      </c>
      <c r="C40" s="12"/>
      <c r="D40" s="12"/>
      <c r="E40" s="179"/>
      <c r="F40" s="12"/>
      <c r="G40" s="12"/>
      <c r="H40" s="44"/>
      <c r="I40" s="44"/>
      <c r="K40" s="16"/>
    </row>
    <row r="41" spans="2:11" ht="15">
      <c r="B41" s="13" t="s">
        <v>211</v>
      </c>
      <c r="C41" s="13"/>
      <c r="D41" s="43">
        <f>'a st.of comprehensive income bg'!C45</f>
        <v>1863</v>
      </c>
      <c r="E41" s="175">
        <f>'a st.of comprehensive income bg'!D45</f>
        <v>0</v>
      </c>
      <c r="F41" s="43">
        <f>'a st.of comprehensive income bg'!E45</f>
        <v>0</v>
      </c>
      <c r="G41" s="43">
        <f>'a st.of comprehensive income bg'!F45</f>
        <v>0</v>
      </c>
      <c r="H41" s="43">
        <f>'a st.of comprehensive income bg'!G45</f>
        <v>-1810</v>
      </c>
      <c r="I41" s="43">
        <f>'a st.of comprehensive income bg'!H45</f>
        <v>0</v>
      </c>
      <c r="K41" s="16"/>
    </row>
    <row r="42" spans="2:11" ht="15">
      <c r="B42" s="13" t="s">
        <v>218</v>
      </c>
      <c r="C42" s="13"/>
      <c r="D42" s="43">
        <f>'a st.of comprehensive income bg'!C46</f>
        <v>2131</v>
      </c>
      <c r="E42" s="175">
        <f>'a st.of comprehensive income bg'!D46</f>
        <v>0</v>
      </c>
      <c r="F42" s="43">
        <f>'a st.of comprehensive income bg'!E46</f>
        <v>0</v>
      </c>
      <c r="G42" s="43">
        <f>'a st.of comprehensive income bg'!F46</f>
        <v>0</v>
      </c>
      <c r="H42" s="43">
        <f>'a st.of comprehensive income bg'!G46</f>
        <v>869</v>
      </c>
      <c r="I42" s="43">
        <f>'a st.of comprehensive income bg'!H46</f>
        <v>0</v>
      </c>
      <c r="K42" s="16"/>
    </row>
    <row r="43" spans="2:9" ht="15.75" thickBot="1">
      <c r="B43" s="11"/>
      <c r="C43" s="11"/>
      <c r="D43" s="45">
        <f aca="true" t="shared" si="2" ref="D43:I43">SUM(D41:D42)</f>
        <v>3994</v>
      </c>
      <c r="E43" s="180">
        <f t="shared" si="2"/>
        <v>0</v>
      </c>
      <c r="F43" s="45">
        <f t="shared" si="2"/>
        <v>0</v>
      </c>
      <c r="G43" s="45">
        <f t="shared" si="2"/>
        <v>0</v>
      </c>
      <c r="H43" s="45">
        <f t="shared" si="2"/>
        <v>-941</v>
      </c>
      <c r="I43" s="45">
        <f t="shared" si="2"/>
        <v>0</v>
      </c>
    </row>
    <row r="44" spans="2:9" ht="15.75" thickTop="1">
      <c r="B44" s="12"/>
      <c r="C44" s="12"/>
      <c r="D44" s="12"/>
      <c r="E44" s="179"/>
      <c r="F44" s="12"/>
      <c r="G44" s="12"/>
      <c r="H44" s="23"/>
      <c r="I44" s="23"/>
    </row>
    <row r="45" spans="2:9" ht="15">
      <c r="B45" s="11" t="s">
        <v>69</v>
      </c>
      <c r="C45" s="11"/>
      <c r="D45" s="35">
        <f>'a st.of comprehensive income bg'!C49</f>
        <v>0.10231639624252775</v>
      </c>
      <c r="E45" s="183"/>
      <c r="F45" s="35">
        <f>'a st.of comprehensive income bg'!E49</f>
        <v>0</v>
      </c>
      <c r="G45" s="35" t="e">
        <f>'a st.of comprehensive income bg'!F49</f>
        <v>#DIV/0!</v>
      </c>
      <c r="H45" s="35">
        <f>'a st.of comprehensive income bg'!G49</f>
        <v>-0.07808497011101623</v>
      </c>
      <c r="I45" s="35">
        <f>'a st.of comprehensive income bg'!H49</f>
        <v>0</v>
      </c>
    </row>
    <row r="46" spans="2:9" ht="15">
      <c r="B46" s="3"/>
      <c r="C46" s="3"/>
      <c r="D46" s="3"/>
      <c r="E46" s="113"/>
      <c r="F46" s="3"/>
      <c r="G46" s="3"/>
      <c r="H46" s="3"/>
      <c r="I46" s="3"/>
    </row>
    <row r="47" spans="2:10" ht="15">
      <c r="B47" s="3" t="str">
        <f>'a st. of financial position en'!A64</f>
        <v>The Annual Consolidated Financial Statements were authorised on 2 April 2019</v>
      </c>
      <c r="C47" s="3"/>
      <c r="D47" s="3"/>
      <c r="E47" s="113"/>
      <c r="F47" s="3"/>
      <c r="G47" s="3"/>
      <c r="H47" s="3"/>
      <c r="I47" s="3"/>
      <c r="J47" s="3"/>
    </row>
    <row r="48" spans="2:10" ht="15">
      <c r="B48" s="3"/>
      <c r="C48" s="3"/>
      <c r="D48" s="3"/>
      <c r="E48" s="113"/>
      <c r="F48" s="3"/>
      <c r="G48" s="3"/>
      <c r="H48" s="3"/>
      <c r="I48" s="3"/>
      <c r="J48" s="3"/>
    </row>
    <row r="49" spans="2:10" ht="15">
      <c r="B49" s="3"/>
      <c r="C49" s="3"/>
      <c r="D49" s="3"/>
      <c r="E49" s="113"/>
      <c r="F49" s="3"/>
      <c r="G49" s="3"/>
      <c r="H49" s="3"/>
      <c r="I49" s="3"/>
      <c r="J49" s="3"/>
    </row>
    <row r="50" spans="2:10" ht="15">
      <c r="B50" s="3" t="s">
        <v>55</v>
      </c>
      <c r="C50" s="3"/>
      <c r="D50" s="3"/>
      <c r="E50" s="113"/>
      <c r="F50" s="3"/>
      <c r="G50" s="3"/>
      <c r="H50" s="3" t="s">
        <v>272</v>
      </c>
      <c r="I50" s="3"/>
      <c r="J50" s="3"/>
    </row>
    <row r="51" spans="2:10" ht="15.75" customHeight="1">
      <c r="B51" s="9" t="s">
        <v>56</v>
      </c>
      <c r="C51" s="9"/>
      <c r="D51" s="9"/>
      <c r="E51" s="184"/>
      <c r="F51" s="9"/>
      <c r="G51" s="3"/>
      <c r="H51" s="9" t="s">
        <v>273</v>
      </c>
      <c r="I51" s="9"/>
      <c r="J51" s="3"/>
    </row>
    <row r="52" spans="2:10" ht="15">
      <c r="B52" s="9" t="s">
        <v>58</v>
      </c>
      <c r="C52" s="9"/>
      <c r="D52" s="9"/>
      <c r="E52" s="184"/>
      <c r="F52" s="9"/>
      <c r="G52" s="3"/>
      <c r="I52" s="9"/>
      <c r="J52" s="3"/>
    </row>
    <row r="53" spans="2:10" ht="15">
      <c r="B53" s="9"/>
      <c r="C53" s="9"/>
      <c r="D53" s="9"/>
      <c r="E53" s="184"/>
      <c r="F53" s="9"/>
      <c r="G53" s="3"/>
      <c r="H53" s="3"/>
      <c r="I53" s="3"/>
      <c r="J53" s="3"/>
    </row>
    <row r="54" spans="2:10" ht="15">
      <c r="B54" s="9"/>
      <c r="C54" s="9"/>
      <c r="D54" s="9"/>
      <c r="E54" s="184"/>
      <c r="F54" s="9"/>
      <c r="G54" s="3"/>
      <c r="H54" s="3"/>
      <c r="I54" s="3"/>
      <c r="J54" s="3"/>
    </row>
    <row r="56" spans="2:6" ht="15">
      <c r="B56" s="3" t="str">
        <f>'a st. of financial position en'!A76</f>
        <v>Mina Nicolova-Angelova</v>
      </c>
      <c r="C56" s="3"/>
      <c r="D56" s="3"/>
      <c r="E56" s="113"/>
      <c r="F56" s="3"/>
    </row>
    <row r="57" spans="2:6" ht="15">
      <c r="B57" s="9" t="s">
        <v>57</v>
      </c>
      <c r="C57" s="9"/>
      <c r="D57" s="9"/>
      <c r="E57" s="184"/>
      <c r="F57" s="9"/>
    </row>
  </sheetData>
  <sheetProtection/>
  <printOptions/>
  <pageMargins left="0.59" right="0.24" top="0.24" bottom="0.32" header="0.65" footer="0.3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B6" sqref="B6:F6"/>
    </sheetView>
  </sheetViews>
  <sheetFormatPr defaultColWidth="9.140625" defaultRowHeight="12.75"/>
  <cols>
    <col min="1" max="1" width="40.140625" style="5" customWidth="1"/>
    <col min="2" max="2" width="20.421875" style="5" customWidth="1"/>
    <col min="3" max="3" width="4.00390625" style="124" customWidth="1"/>
    <col min="4" max="4" width="15.421875" style="5" hidden="1" customWidth="1"/>
    <col min="5" max="5" width="46.140625" style="5" hidden="1" customWidth="1"/>
    <col min="6" max="6" width="18.8515625" style="5" customWidth="1"/>
    <col min="7" max="7" width="4.28125" style="124" customWidth="1"/>
    <col min="8" max="16384" width="9.140625" style="5" customWidth="1"/>
  </cols>
  <sheetData>
    <row r="1" spans="1:6" ht="15">
      <c r="A1" s="1" t="s">
        <v>70</v>
      </c>
      <c r="B1" s="1"/>
      <c r="C1" s="117"/>
      <c r="D1" s="1"/>
      <c r="E1" s="1"/>
      <c r="F1" s="19" t="str">
        <f>'a st.of comprehensive income en'!H2</f>
        <v>Annual Consolidated Financial Statements</v>
      </c>
    </row>
    <row r="2" spans="1:6" ht="15">
      <c r="A2" s="5" t="s">
        <v>18</v>
      </c>
      <c r="F2" s="4" t="str">
        <f>'a st.of comprehensive income en'!H3</f>
        <v>For the period ended 31 December 2018</v>
      </c>
    </row>
    <row r="3" spans="1:5" ht="15">
      <c r="A3" s="26"/>
      <c r="B3" s="26"/>
      <c r="C3" s="185"/>
      <c r="D3" s="26"/>
      <c r="E3" s="26"/>
    </row>
    <row r="4" spans="1:7" ht="15">
      <c r="A4" s="18" t="s">
        <v>159</v>
      </c>
      <c r="B4" s="18"/>
      <c r="C4" s="176"/>
      <c r="D4" s="18"/>
      <c r="E4" s="18"/>
      <c r="F4" s="3"/>
      <c r="G4" s="113"/>
    </row>
    <row r="5" spans="1:7" ht="9" customHeight="1">
      <c r="A5" s="22"/>
      <c r="B5" s="22"/>
      <c r="C5" s="186"/>
      <c r="D5" s="22"/>
      <c r="E5" s="22"/>
      <c r="F5" s="3"/>
      <c r="G5" s="113"/>
    </row>
    <row r="6" spans="1:7" ht="15">
      <c r="A6" s="3"/>
      <c r="B6" s="170">
        <f>'a st. of financial position en'!C4</f>
        <v>43465</v>
      </c>
      <c r="C6" s="210"/>
      <c r="D6" s="170"/>
      <c r="E6" s="170">
        <f>'a st. of financial position en'!F4</f>
        <v>0</v>
      </c>
      <c r="F6" s="170">
        <f>'a st. of financial position en'!G4</f>
        <v>43100</v>
      </c>
      <c r="G6" s="178"/>
    </row>
    <row r="7" spans="1:7" ht="15">
      <c r="A7" s="11" t="s">
        <v>71</v>
      </c>
      <c r="B7" s="11"/>
      <c r="C7" s="181"/>
      <c r="D7" s="11"/>
      <c r="E7" s="11"/>
      <c r="F7" s="23"/>
      <c r="G7" s="188"/>
    </row>
    <row r="8" spans="1:7" ht="15">
      <c r="A8" s="24" t="s">
        <v>72</v>
      </c>
      <c r="B8" s="195">
        <f>' a st. of cash flows bg'!B10</f>
        <v>167016</v>
      </c>
      <c r="C8" s="196"/>
      <c r="D8" s="195">
        <f>' a st. of cash flows bg'!D10</f>
        <v>0</v>
      </c>
      <c r="E8" s="195">
        <f>' a st. of cash flows bg'!E10</f>
        <v>0</v>
      </c>
      <c r="F8" s="195">
        <f>' a st. of cash flows bg'!F10</f>
        <v>142106</v>
      </c>
      <c r="G8" s="113"/>
    </row>
    <row r="9" spans="1:7" ht="15">
      <c r="A9" s="3" t="s">
        <v>325</v>
      </c>
      <c r="B9" s="197">
        <f>' a st. of cash flows bg'!B11</f>
        <v>490</v>
      </c>
      <c r="C9" s="196"/>
      <c r="D9" s="197">
        <f>' a st. of cash flows bg'!D11</f>
        <v>0</v>
      </c>
      <c r="E9" s="197">
        <f>' a st. of cash flows bg'!E11</f>
        <v>0</v>
      </c>
      <c r="F9" s="197">
        <f>' a st. of cash flows bg'!F11</f>
        <v>421</v>
      </c>
      <c r="G9" s="113"/>
    </row>
    <row r="10" spans="1:7" ht="15">
      <c r="A10" s="13" t="s">
        <v>73</v>
      </c>
      <c r="B10" s="197">
        <f>' a st. of cash flows bg'!B13</f>
        <v>-120170</v>
      </c>
      <c r="C10" s="196"/>
      <c r="D10" s="197">
        <f>' a st. of cash flows bg'!D13</f>
        <v>0</v>
      </c>
      <c r="E10" s="197">
        <f>' a st. of cash flows bg'!E13</f>
        <v>0</v>
      </c>
      <c r="F10" s="197">
        <f>' a st. of cash flows bg'!F13</f>
        <v>-92378</v>
      </c>
      <c r="G10" s="189"/>
    </row>
    <row r="11" spans="1:7" ht="15">
      <c r="A11" s="3" t="s">
        <v>74</v>
      </c>
      <c r="B11" s="197">
        <f>' a st. of cash flows bg'!B14</f>
        <v>-41979</v>
      </c>
      <c r="C11" s="196"/>
      <c r="D11" s="197">
        <f>' a st. of cash flows bg'!D14</f>
        <v>0</v>
      </c>
      <c r="E11" s="197">
        <f>' a st. of cash flows bg'!E14</f>
        <v>0</v>
      </c>
      <c r="F11" s="197">
        <f>' a st. of cash flows bg'!F14</f>
        <v>-37392</v>
      </c>
      <c r="G11" s="189"/>
    </row>
    <row r="12" spans="1:7" ht="15">
      <c r="A12" s="3" t="s">
        <v>75</v>
      </c>
      <c r="B12" s="197">
        <f>' a st. of cash flows bg'!B15</f>
        <v>-7755</v>
      </c>
      <c r="C12" s="196"/>
      <c r="D12" s="197">
        <f>' a st. of cash flows bg'!D15</f>
        <v>0</v>
      </c>
      <c r="E12" s="197">
        <f>' a st. of cash flows bg'!E15</f>
        <v>0</v>
      </c>
      <c r="F12" s="197">
        <f>' a st. of cash flows bg'!F15</f>
        <v>-7047</v>
      </c>
      <c r="G12" s="189"/>
    </row>
    <row r="13" spans="1:7" ht="25.5" hidden="1">
      <c r="A13" s="24" t="s">
        <v>175</v>
      </c>
      <c r="B13" s="198">
        <f>SUM(B10:B12)</f>
        <v>-169904</v>
      </c>
      <c r="C13" s="199"/>
      <c r="D13" s="198">
        <f>SUM(D10:D12)</f>
        <v>0</v>
      </c>
      <c r="E13" s="198">
        <f>SUM(E10:E12)</f>
        <v>0</v>
      </c>
      <c r="F13" s="198">
        <f>SUM(F10:F12)</f>
        <v>-136817</v>
      </c>
      <c r="G13" s="190"/>
    </row>
    <row r="14" spans="1:8" s="15" customFormat="1" ht="15">
      <c r="A14" s="11" t="s">
        <v>76</v>
      </c>
      <c r="B14" s="200">
        <f>B8+B9+B13</f>
        <v>-2398</v>
      </c>
      <c r="C14" s="201"/>
      <c r="D14" s="200">
        <f>D8+D9+D13</f>
        <v>0</v>
      </c>
      <c r="E14" s="200">
        <f>E8+E9+E13</f>
        <v>0</v>
      </c>
      <c r="F14" s="200">
        <f>F8+F9+F13</f>
        <v>5710</v>
      </c>
      <c r="G14" s="191"/>
      <c r="H14" s="33"/>
    </row>
    <row r="15" spans="1:7" ht="15">
      <c r="A15" s="11" t="s">
        <v>77</v>
      </c>
      <c r="B15" s="202"/>
      <c r="C15" s="203"/>
      <c r="D15" s="202"/>
      <c r="E15" s="202"/>
      <c r="F15" s="204"/>
      <c r="G15" s="188"/>
    </row>
    <row r="16" spans="1:7" ht="15">
      <c r="A16" s="3" t="s">
        <v>78</v>
      </c>
      <c r="B16" s="197">
        <f>' a st. of cash flows bg'!B19</f>
        <v>4736</v>
      </c>
      <c r="C16" s="196"/>
      <c r="D16" s="197">
        <f>' a st. of cash flows bg'!D19</f>
        <v>0</v>
      </c>
      <c r="E16" s="197">
        <f>' a st. of cash flows bg'!E19</f>
        <v>0</v>
      </c>
      <c r="F16" s="197">
        <f>' a st. of cash flows bg'!F19</f>
        <v>2810</v>
      </c>
      <c r="G16" s="113"/>
    </row>
    <row r="17" spans="1:7" ht="15">
      <c r="A17" s="3" t="s">
        <v>318</v>
      </c>
      <c r="B17" s="197">
        <f>' a st. of cash flows bg'!B20</f>
        <v>65</v>
      </c>
      <c r="C17" s="196"/>
      <c r="D17" s="197">
        <f>' a st. of cash flows bg'!D20</f>
        <v>0</v>
      </c>
      <c r="E17" s="197">
        <f>' a st. of cash flows bg'!E20</f>
        <v>0</v>
      </c>
      <c r="F17" s="197">
        <f>' a st. of cash flows bg'!F20</f>
        <v>76</v>
      </c>
      <c r="G17" s="189"/>
    </row>
    <row r="18" spans="1:7" ht="15">
      <c r="A18" s="3" t="s">
        <v>79</v>
      </c>
      <c r="B18" s="197">
        <f>' a st. of cash flows bg'!B21</f>
        <v>14534</v>
      </c>
      <c r="C18" s="196"/>
      <c r="D18" s="197">
        <f>' a st. of cash flows bg'!D21</f>
        <v>0</v>
      </c>
      <c r="E18" s="197">
        <f>' a st. of cash flows bg'!E21</f>
        <v>0</v>
      </c>
      <c r="F18" s="197">
        <f>' a st. of cash flows bg'!F21</f>
        <v>4698</v>
      </c>
      <c r="G18" s="189"/>
    </row>
    <row r="19" spans="1:7" ht="15">
      <c r="A19" s="3" t="s">
        <v>80</v>
      </c>
      <c r="B19" s="197">
        <f>' a st. of cash flows bg'!B22</f>
        <v>-1990</v>
      </c>
      <c r="C19" s="196"/>
      <c r="D19" s="197">
        <f>' a st. of cash flows bg'!D22</f>
        <v>0</v>
      </c>
      <c r="E19" s="197">
        <f>' a st. of cash flows bg'!E22</f>
        <v>0</v>
      </c>
      <c r="F19" s="197">
        <f>' a st. of cash flows bg'!F22</f>
        <v>-1835</v>
      </c>
      <c r="G19" s="189"/>
    </row>
    <row r="20" spans="1:7" ht="15">
      <c r="A20" s="3" t="s">
        <v>81</v>
      </c>
      <c r="B20" s="197">
        <f>' a st. of cash flows bg'!B23</f>
        <v>-9133</v>
      </c>
      <c r="C20" s="196"/>
      <c r="D20" s="197">
        <f>' a st. of cash flows bg'!D23</f>
        <v>0</v>
      </c>
      <c r="E20" s="197">
        <f>' a st. of cash flows bg'!E23</f>
        <v>0</v>
      </c>
      <c r="F20" s="197">
        <f>' a st. of cash flows bg'!F23</f>
        <v>-9483</v>
      </c>
      <c r="G20" s="189"/>
    </row>
    <row r="21" spans="1:7" ht="15">
      <c r="A21" s="3" t="s">
        <v>104</v>
      </c>
      <c r="B21" s="197">
        <f>' a st. of cash flows bg'!B24</f>
        <v>94</v>
      </c>
      <c r="C21" s="196"/>
      <c r="D21" s="197">
        <f>' a st. of cash flows bg'!D24</f>
        <v>0</v>
      </c>
      <c r="E21" s="197">
        <f>' a st. of cash flows bg'!E24</f>
        <v>0</v>
      </c>
      <c r="F21" s="197">
        <f>' a st. of cash flows bg'!F24</f>
        <v>-47</v>
      </c>
      <c r="G21" s="189"/>
    </row>
    <row r="22" spans="1:8" ht="15">
      <c r="A22" s="11" t="s">
        <v>82</v>
      </c>
      <c r="B22" s="200">
        <f>SUM(B16:B21)</f>
        <v>8306</v>
      </c>
      <c r="C22" s="201"/>
      <c r="D22" s="200">
        <f>SUM(D16:D21)</f>
        <v>0</v>
      </c>
      <c r="E22" s="200">
        <f>SUM(E16:E21)</f>
        <v>0</v>
      </c>
      <c r="F22" s="200">
        <f>SUM(F16:F21)</f>
        <v>-3781</v>
      </c>
      <c r="G22" s="191"/>
      <c r="H22" s="16"/>
    </row>
    <row r="23" spans="1:7" ht="15">
      <c r="A23" s="11" t="s">
        <v>105</v>
      </c>
      <c r="B23" s="202"/>
      <c r="C23" s="203"/>
      <c r="D23" s="202"/>
      <c r="E23" s="202"/>
      <c r="F23" s="204"/>
      <c r="G23" s="188"/>
    </row>
    <row r="24" spans="1:7" ht="15">
      <c r="A24" s="3" t="s">
        <v>83</v>
      </c>
      <c r="B24" s="197">
        <f>' a st. of cash flows bg'!B27</f>
        <v>-285</v>
      </c>
      <c r="C24" s="196"/>
      <c r="D24" s="197">
        <f>' a st. of cash flows bg'!D27</f>
        <v>0</v>
      </c>
      <c r="E24" s="197">
        <f>' a st. of cash flows bg'!E27</f>
        <v>0</v>
      </c>
      <c r="F24" s="197">
        <f>' a st. of cash flows bg'!F27</f>
        <v>-244</v>
      </c>
      <c r="G24" s="189"/>
    </row>
    <row r="25" spans="1:7" ht="15">
      <c r="A25" s="3" t="s">
        <v>84</v>
      </c>
      <c r="B25" s="197">
        <f>' a st. of cash flows bg'!B28</f>
        <v>0</v>
      </c>
      <c r="C25" s="196"/>
      <c r="D25" s="197">
        <f>' a st. of cash flows bg'!D28</f>
        <v>0</v>
      </c>
      <c r="E25" s="197">
        <f>' a st. of cash flows bg'!E28</f>
        <v>0</v>
      </c>
      <c r="F25" s="197">
        <f>' a st. of cash flows bg'!F28</f>
        <v>0</v>
      </c>
      <c r="G25" s="189"/>
    </row>
    <row r="26" spans="1:7" ht="15">
      <c r="A26" s="3" t="s">
        <v>292</v>
      </c>
      <c r="B26" s="197">
        <f>' a st. of cash flows bg'!B29</f>
        <v>25579</v>
      </c>
      <c r="C26" s="196"/>
      <c r="D26" s="197">
        <f>' a st. of cash flows bg'!D29</f>
        <v>0</v>
      </c>
      <c r="E26" s="197">
        <f>' a st. of cash flows bg'!E29</f>
        <v>0</v>
      </c>
      <c r="F26" s="197">
        <f>' a st. of cash flows bg'!F29</f>
        <v>40053</v>
      </c>
      <c r="G26" s="189"/>
    </row>
    <row r="27" spans="1:7" ht="15">
      <c r="A27" s="3" t="s">
        <v>293</v>
      </c>
      <c r="B27" s="197">
        <f>' a st. of cash flows bg'!B30</f>
        <v>-18322</v>
      </c>
      <c r="C27" s="196"/>
      <c r="D27" s="197">
        <f>' a st. of cash flows bg'!D30</f>
        <v>0</v>
      </c>
      <c r="E27" s="197">
        <f>' a st. of cash flows bg'!E30</f>
        <v>0</v>
      </c>
      <c r="F27" s="197">
        <f>' a st. of cash flows bg'!F30</f>
        <v>-29153</v>
      </c>
      <c r="G27" s="189"/>
    </row>
    <row r="28" spans="1:7" ht="15">
      <c r="A28" s="96" t="s">
        <v>294</v>
      </c>
      <c r="B28" s="197">
        <f>' a st. of cash flows bg'!B31</f>
        <v>-537</v>
      </c>
      <c r="C28" s="196"/>
      <c r="D28" s="197">
        <f>' a st. of cash flows bg'!D31</f>
        <v>0</v>
      </c>
      <c r="E28" s="197">
        <f>' a st. of cash flows bg'!E31</f>
        <v>0</v>
      </c>
      <c r="F28" s="197">
        <f>' a st. of cash flows bg'!F31</f>
        <v>-441</v>
      </c>
      <c r="G28" s="189"/>
    </row>
    <row r="29" spans="1:7" ht="15">
      <c r="A29" s="3" t="s">
        <v>295</v>
      </c>
      <c r="B29" s="197">
        <f>' a st. of cash flows bg'!B32</f>
        <v>36760</v>
      </c>
      <c r="C29" s="196"/>
      <c r="D29" s="197">
        <f>' a st. of cash flows bg'!D32</f>
        <v>0</v>
      </c>
      <c r="E29" s="197">
        <f>' a st. of cash flows bg'!E32</f>
        <v>0</v>
      </c>
      <c r="F29" s="197">
        <f>' a st. of cash flows bg'!F32</f>
        <v>45347</v>
      </c>
      <c r="G29" s="189"/>
    </row>
    <row r="30" spans="1:7" ht="15">
      <c r="A30" s="3" t="s">
        <v>296</v>
      </c>
      <c r="B30" s="197">
        <f>' a st. of cash flows bg'!B33</f>
        <v>-41723</v>
      </c>
      <c r="C30" s="196"/>
      <c r="D30" s="197">
        <f>' a st. of cash flows bg'!D33</f>
        <v>0</v>
      </c>
      <c r="E30" s="197">
        <f>' a st. of cash flows bg'!E33</f>
        <v>0</v>
      </c>
      <c r="F30" s="197">
        <f>' a st. of cash flows bg'!F33</f>
        <v>-51955</v>
      </c>
      <c r="G30" s="189"/>
    </row>
    <row r="31" spans="1:7" ht="15">
      <c r="A31" s="3" t="s">
        <v>85</v>
      </c>
      <c r="B31" s="197">
        <f>' a st. of cash flows bg'!B34</f>
        <v>-994</v>
      </c>
      <c r="C31" s="196"/>
      <c r="D31" s="197">
        <f>' a st. of cash flows bg'!D34</f>
        <v>0</v>
      </c>
      <c r="E31" s="197">
        <f>' a st. of cash flows bg'!E34</f>
        <v>0</v>
      </c>
      <c r="F31" s="197">
        <f>' a st. of cash flows bg'!F34</f>
        <v>-1442</v>
      </c>
      <c r="G31" s="189"/>
    </row>
    <row r="32" spans="1:7" ht="15" hidden="1">
      <c r="A32" s="3" t="s">
        <v>86</v>
      </c>
      <c r="B32" s="197"/>
      <c r="C32" s="196"/>
      <c r="D32" s="197"/>
      <c r="E32" s="197"/>
      <c r="F32" s="197">
        <f>' a st. of cash flows bg'!F35</f>
        <v>0</v>
      </c>
      <c r="G32" s="189"/>
    </row>
    <row r="33" spans="1:7" ht="15">
      <c r="A33" s="3" t="s">
        <v>13</v>
      </c>
      <c r="B33" s="197">
        <f>' a st. of cash flows bg'!B36</f>
        <v>-17</v>
      </c>
      <c r="C33" s="196"/>
      <c r="D33" s="197">
        <f>' a st. of cash flows bg'!D36</f>
        <v>0</v>
      </c>
      <c r="E33" s="197">
        <f>' a st. of cash flows bg'!E36</f>
        <v>0</v>
      </c>
      <c r="F33" s="197">
        <f>' a st. of cash flows bg'!F36</f>
        <v>-83</v>
      </c>
      <c r="G33" s="189"/>
    </row>
    <row r="34" spans="1:9" s="15" customFormat="1" ht="15">
      <c r="A34" s="11" t="s">
        <v>106</v>
      </c>
      <c r="B34" s="205">
        <f>SUM(B24:B33)</f>
        <v>461</v>
      </c>
      <c r="C34" s="206"/>
      <c r="D34" s="205">
        <f>SUM(D24:D33)</f>
        <v>0</v>
      </c>
      <c r="E34" s="205">
        <f>SUM(E24:E33)</f>
        <v>0</v>
      </c>
      <c r="F34" s="205">
        <f>SUM(F24:F33)</f>
        <v>2082</v>
      </c>
      <c r="G34" s="192"/>
      <c r="H34" s="33"/>
      <c r="I34" s="97"/>
    </row>
    <row r="35" spans="1:7" ht="15">
      <c r="A35" s="11" t="s">
        <v>87</v>
      </c>
      <c r="B35" s="204">
        <f>B14+B22+B34</f>
        <v>6369</v>
      </c>
      <c r="C35" s="207"/>
      <c r="D35" s="204">
        <f>D14+D22+D34</f>
        <v>0</v>
      </c>
      <c r="E35" s="204">
        <f>E14+E22+E34</f>
        <v>0</v>
      </c>
      <c r="F35" s="204">
        <f>F14+F22+F34</f>
        <v>4011</v>
      </c>
      <c r="G35" s="188"/>
    </row>
    <row r="36" spans="1:7" ht="15">
      <c r="A36" s="11" t="s">
        <v>88</v>
      </c>
      <c r="B36" s="202">
        <f>' a st. of cash flows bg'!B39</f>
        <v>8480</v>
      </c>
      <c r="C36" s="203"/>
      <c r="D36" s="202">
        <f>' a st. of cash flows bg'!D39</f>
        <v>0</v>
      </c>
      <c r="E36" s="202">
        <f>' a st. of cash flows bg'!E39</f>
        <v>4501</v>
      </c>
      <c r="F36" s="202">
        <f>' a st. of cash flows bg'!F39</f>
        <v>4501</v>
      </c>
      <c r="G36" s="193"/>
    </row>
    <row r="37" spans="1:7" ht="26.25">
      <c r="A37" s="76" t="s">
        <v>297</v>
      </c>
      <c r="B37" s="202">
        <f>' a st. of cash flows bg'!B40</f>
        <v>-36</v>
      </c>
      <c r="C37" s="203"/>
      <c r="D37" s="202">
        <f>' a st. of cash flows bg'!D40</f>
        <v>0</v>
      </c>
      <c r="E37" s="202">
        <f>' a st. of cash flows bg'!E40</f>
        <v>0</v>
      </c>
      <c r="F37" s="202">
        <f>' a st. of cash flows bg'!F40</f>
        <v>-32</v>
      </c>
      <c r="G37" s="193"/>
    </row>
    <row r="38" spans="1:7" ht="15">
      <c r="A38" s="11" t="s">
        <v>89</v>
      </c>
      <c r="B38" s="208">
        <f>SUM(B35:B37)</f>
        <v>14813</v>
      </c>
      <c r="C38" s="207"/>
      <c r="D38" s="209">
        <f>SUM(D35:D37)</f>
        <v>0</v>
      </c>
      <c r="E38" s="209">
        <f>SUM(E35:E37)</f>
        <v>4501</v>
      </c>
      <c r="F38" s="208">
        <f>SUM(F35:F37)</f>
        <v>8480</v>
      </c>
      <c r="G38" s="194"/>
    </row>
    <row r="39" spans="1:7" s="15" customFormat="1" ht="15">
      <c r="A39" s="21"/>
      <c r="B39" s="21"/>
      <c r="C39" s="187"/>
      <c r="D39" s="21"/>
      <c r="E39" s="21"/>
      <c r="F39" s="9"/>
      <c r="G39" s="184"/>
    </row>
    <row r="40" spans="1:9" ht="15">
      <c r="A40" s="3" t="str">
        <f>'a st. of financial position en'!A64</f>
        <v>The Annual Consolidated Financial Statements were authorised on 2 April 2019</v>
      </c>
      <c r="B40" s="3"/>
      <c r="C40" s="113"/>
      <c r="D40" s="3"/>
      <c r="E40" s="3"/>
      <c r="F40" s="3"/>
      <c r="G40" s="113"/>
      <c r="H40" s="3"/>
      <c r="I40" s="3"/>
    </row>
    <row r="41" spans="1:9" ht="15">
      <c r="A41" s="3"/>
      <c r="B41" s="3"/>
      <c r="C41" s="113"/>
      <c r="D41" s="3"/>
      <c r="E41" s="3"/>
      <c r="F41" s="3"/>
      <c r="G41" s="113"/>
      <c r="H41" s="3"/>
      <c r="I41" s="3"/>
    </row>
    <row r="42" spans="1:9" ht="15">
      <c r="A42" s="3" t="s">
        <v>55</v>
      </c>
      <c r="B42" s="3"/>
      <c r="C42" s="113"/>
      <c r="D42" s="3"/>
      <c r="E42" s="3"/>
      <c r="F42" s="3" t="s">
        <v>272</v>
      </c>
      <c r="H42" s="3"/>
      <c r="I42" s="3"/>
    </row>
    <row r="43" spans="1:9" ht="15">
      <c r="A43" s="9" t="s">
        <v>56</v>
      </c>
      <c r="B43" s="9"/>
      <c r="C43" s="184"/>
      <c r="D43" s="9"/>
      <c r="E43" s="9"/>
      <c r="F43" s="9" t="s">
        <v>273</v>
      </c>
      <c r="H43" s="3"/>
      <c r="I43" s="3"/>
    </row>
    <row r="44" spans="1:9" ht="15">
      <c r="A44" s="9" t="s">
        <v>58</v>
      </c>
      <c r="B44" s="9"/>
      <c r="C44" s="184"/>
      <c r="D44" s="9"/>
      <c r="E44" s="9"/>
      <c r="F44" s="3"/>
      <c r="H44" s="3"/>
      <c r="I44" s="3"/>
    </row>
    <row r="45" spans="1:9" ht="15">
      <c r="A45" s="9"/>
      <c r="B45" s="9"/>
      <c r="C45" s="184"/>
      <c r="D45" s="9"/>
      <c r="E45" s="9"/>
      <c r="F45" s="3"/>
      <c r="H45" s="3"/>
      <c r="I45" s="3"/>
    </row>
    <row r="46" spans="1:9" ht="15">
      <c r="A46" s="9"/>
      <c r="B46" s="9"/>
      <c r="C46" s="184"/>
      <c r="D46" s="9"/>
      <c r="E46" s="9"/>
      <c r="F46" s="3"/>
      <c r="H46" s="3"/>
      <c r="I46" s="3"/>
    </row>
    <row r="49" spans="1:5" ht="15">
      <c r="A49" s="3" t="str">
        <f>'a st. of financial position en'!A76</f>
        <v>Mina Nicolova-Angelova</v>
      </c>
      <c r="B49" s="3"/>
      <c r="C49" s="113"/>
      <c r="D49" s="3"/>
      <c r="E49" s="3"/>
    </row>
    <row r="50" spans="1:5" ht="15">
      <c r="A50" s="9" t="s">
        <v>57</v>
      </c>
      <c r="B50" s="9"/>
      <c r="C50" s="184"/>
      <c r="D50" s="9"/>
      <c r="E50" s="9"/>
    </row>
  </sheetData>
  <sheetProtection/>
  <printOptions/>
  <pageMargins left="0.87" right="0.24" top="1.14" bottom="0.55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Doverie 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Pavlova</dc:creator>
  <cp:keywords/>
  <dc:description/>
  <cp:lastModifiedBy>Albena</cp:lastModifiedBy>
  <cp:lastPrinted>2019-04-15T08:58:39Z</cp:lastPrinted>
  <dcterms:created xsi:type="dcterms:W3CDTF">2004-05-04T07:38:50Z</dcterms:created>
  <dcterms:modified xsi:type="dcterms:W3CDTF">2019-04-22T10:32:55Z</dcterms:modified>
  <cp:category/>
  <cp:version/>
  <cp:contentType/>
  <cp:contentStatus/>
</cp:coreProperties>
</file>