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Емитенти и членство\1 - Регистрация BEAM\1 - Регистрация\2 - Акции\02-Синкарс\2753 от 13.05.2021\"/>
    </mc:Choice>
  </mc:AlternateContent>
  <xr:revisionPtr revIDLastSave="0" documentId="8_{DF81CADA-361E-4A52-82AB-09AC227F9FEB}" xr6:coauthVersionLast="46" xr6:coauthVersionMax="46" xr10:uidLastSave="{00000000-0000-0000-0000-000000000000}"/>
  <bookViews>
    <workbookView xWindow="1560" yWindow="1560" windowWidth="24525" windowHeight="13725" xr2:uid="{00000000-000D-0000-FFFF-FFFF00000000}"/>
  </bookViews>
  <sheets>
    <sheet name="BS" sheetId="2" r:id="rId1"/>
    <sheet name="PL" sheetId="3" r:id="rId2"/>
    <sheet name="CF" sheetId="4" r:id="rId3"/>
    <sheet name="Ratio" sheetId="19" r:id="rId4"/>
    <sheet name="FA" sheetId="5" r:id="rId5"/>
    <sheet name="Inventory" sheetId="6" r:id="rId6"/>
    <sheet name="Receivables" sheetId="7" r:id="rId7"/>
    <sheet name="Cash" sheetId="21" r:id="rId8"/>
    <sheet name="Tax" sheetId="8" r:id="rId9"/>
    <sheet name="Paybles" sheetId="9" r:id="rId10"/>
    <sheet name="Personal" sheetId="20" r:id="rId11"/>
    <sheet name="Loan" sheetId="10" r:id="rId12"/>
    <sheet name="Expenses" sheetId="11" r:id="rId13"/>
    <sheet name="WIP" sheetId="14" r:id="rId14"/>
    <sheet name="Income" sheetId="12" r:id="rId15"/>
    <sheet name="Production cost" sheetId="13" r:id="rId16"/>
    <sheet name="PC prototype" sheetId="18" r:id="rId17"/>
    <sheet name="R&amp;D expenses" sheetId="15" r:id="rId18"/>
    <sheet name="Sales and marketing" sheetId="16" r:id="rId19"/>
    <sheet name="GA expenses" sheetId="17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1" l="1"/>
  <c r="P7" i="10"/>
  <c r="O7" i="10"/>
  <c r="N7" i="10"/>
  <c r="H21" i="8"/>
  <c r="H18" i="8"/>
  <c r="H20" i="21"/>
  <c r="H29" i="21"/>
  <c r="H27" i="21"/>
  <c r="H18" i="21"/>
  <c r="G8" i="3"/>
  <c r="H18" i="9"/>
  <c r="H17" i="9"/>
  <c r="H32" i="8"/>
  <c r="H31" i="8"/>
  <c r="H30" i="8"/>
  <c r="H29" i="8"/>
  <c r="H16" i="20"/>
  <c r="H18" i="7"/>
  <c r="H16" i="7"/>
  <c r="H17" i="6"/>
  <c r="H20" i="6"/>
  <c r="C7" i="11"/>
  <c r="H29" i="6"/>
  <c r="Q7" i="10" l="1"/>
  <c r="Q11" i="5"/>
  <c r="Q10" i="5"/>
  <c r="Q9" i="5"/>
  <c r="Q8" i="5"/>
  <c r="N32" i="5"/>
  <c r="M32" i="5"/>
  <c r="L32" i="5"/>
  <c r="K32" i="5"/>
  <c r="G32" i="5"/>
  <c r="F32" i="5"/>
  <c r="E32" i="5"/>
  <c r="J22" i="5"/>
  <c r="G22" i="5"/>
  <c r="F22" i="5"/>
  <c r="E22" i="5"/>
  <c r="J12" i="5"/>
  <c r="K11" i="5"/>
  <c r="R11" i="5" s="1"/>
  <c r="H30" i="14"/>
  <c r="H29" i="14"/>
  <c r="H28" i="14"/>
  <c r="G19" i="6" s="1"/>
  <c r="H19" i="6" s="1"/>
  <c r="H27" i="14"/>
  <c r="H20" i="14"/>
  <c r="H19" i="14"/>
  <c r="H17" i="14"/>
  <c r="G29" i="3"/>
  <c r="P6" i="10"/>
  <c r="P8" i="10" s="1"/>
  <c r="E28" i="3" s="1"/>
  <c r="O6" i="10"/>
  <c r="N6" i="10"/>
  <c r="N8" i="10" s="1"/>
  <c r="L30" i="14"/>
  <c r="K30" i="14"/>
  <c r="J30" i="14"/>
  <c r="L29" i="14"/>
  <c r="K29" i="14"/>
  <c r="J29" i="14"/>
  <c r="L28" i="14"/>
  <c r="K28" i="14"/>
  <c r="J28" i="14"/>
  <c r="L27" i="14"/>
  <c r="K27" i="14"/>
  <c r="J27" i="14"/>
  <c r="L20" i="14"/>
  <c r="K20" i="14"/>
  <c r="J20" i="14"/>
  <c r="L19" i="14"/>
  <c r="K19" i="14"/>
  <c r="J19" i="14"/>
  <c r="L18" i="14"/>
  <c r="K18" i="14"/>
  <c r="J18" i="14"/>
  <c r="L17" i="14"/>
  <c r="K17" i="14"/>
  <c r="J17" i="14"/>
  <c r="L10" i="14"/>
  <c r="K10" i="14"/>
  <c r="J10" i="14"/>
  <c r="N10" i="14" s="1"/>
  <c r="L9" i="14"/>
  <c r="K9" i="14"/>
  <c r="J9" i="14"/>
  <c r="L8" i="14"/>
  <c r="K8" i="14"/>
  <c r="J8" i="14"/>
  <c r="L7" i="14"/>
  <c r="K7" i="14"/>
  <c r="J7" i="14"/>
  <c r="F28" i="11"/>
  <c r="E28" i="11"/>
  <c r="D28" i="11"/>
  <c r="C28" i="11"/>
  <c r="L20" i="5"/>
  <c r="K19" i="5"/>
  <c r="L18" i="5"/>
  <c r="O31" i="5"/>
  <c r="O30" i="5"/>
  <c r="O29" i="5"/>
  <c r="O28" i="5"/>
  <c r="O32" i="5" s="1"/>
  <c r="O21" i="5"/>
  <c r="C12" i="5"/>
  <c r="H11" i="5"/>
  <c r="H31" i="5"/>
  <c r="H30" i="5"/>
  <c r="H29" i="5"/>
  <c r="H28" i="5"/>
  <c r="H32" i="5" s="1"/>
  <c r="H21" i="5"/>
  <c r="H20" i="5"/>
  <c r="H19" i="5"/>
  <c r="H18" i="5"/>
  <c r="H22" i="5" s="1"/>
  <c r="F21" i="4"/>
  <c r="E21" i="4"/>
  <c r="D21" i="4"/>
  <c r="C21" i="4"/>
  <c r="G21" i="4" s="1"/>
  <c r="G23" i="4"/>
  <c r="C28" i="4"/>
  <c r="G28" i="4" s="1"/>
  <c r="H9" i="2"/>
  <c r="H8" i="2"/>
  <c r="D25" i="20"/>
  <c r="C25" i="20"/>
  <c r="D17" i="20"/>
  <c r="C17" i="20"/>
  <c r="C9" i="20"/>
  <c r="D8" i="20"/>
  <c r="E8" i="20" s="1"/>
  <c r="F8" i="20" s="1"/>
  <c r="G8" i="20" s="1"/>
  <c r="H8" i="20" s="1"/>
  <c r="D7" i="20"/>
  <c r="D30" i="21"/>
  <c r="C30" i="21"/>
  <c r="D21" i="21"/>
  <c r="C21" i="21"/>
  <c r="C12" i="21"/>
  <c r="D11" i="21"/>
  <c r="E11" i="21" s="1"/>
  <c r="F11" i="21" s="1"/>
  <c r="G11" i="21" s="1"/>
  <c r="H11" i="21" s="1"/>
  <c r="D10" i="21"/>
  <c r="D9" i="21"/>
  <c r="E9" i="21" s="1"/>
  <c r="K8" i="5"/>
  <c r="H35" i="2"/>
  <c r="H34" i="2"/>
  <c r="D33" i="2"/>
  <c r="C28" i="2"/>
  <c r="H21" i="2"/>
  <c r="C19" i="2"/>
  <c r="C10" i="2"/>
  <c r="H12" i="2"/>
  <c r="C11" i="14"/>
  <c r="C8" i="6" s="1"/>
  <c r="D31" i="14"/>
  <c r="D28" i="6" s="1"/>
  <c r="D10" i="14"/>
  <c r="E10" i="14" s="1"/>
  <c r="F10" i="14" s="1"/>
  <c r="G10" i="14" s="1"/>
  <c r="H10" i="14" s="1"/>
  <c r="D9" i="14"/>
  <c r="E9" i="14" s="1"/>
  <c r="F9" i="14" s="1"/>
  <c r="G9" i="14" s="1"/>
  <c r="H9" i="14" s="1"/>
  <c r="D7" i="14"/>
  <c r="E7" i="14" s="1"/>
  <c r="G31" i="14"/>
  <c r="F31" i="14"/>
  <c r="E31" i="14"/>
  <c r="C31" i="14"/>
  <c r="C21" i="14"/>
  <c r="C9" i="3"/>
  <c r="C15" i="11"/>
  <c r="D9" i="15" s="1"/>
  <c r="D12" i="11"/>
  <c r="D11" i="11"/>
  <c r="E11" i="11" s="1"/>
  <c r="F14" i="11"/>
  <c r="L9" i="18"/>
  <c r="K9" i="18"/>
  <c r="M8" i="18"/>
  <c r="L6" i="18"/>
  <c r="L9" i="13"/>
  <c r="L8" i="13"/>
  <c r="L7" i="13"/>
  <c r="L6" i="13"/>
  <c r="K9" i="13"/>
  <c r="M9" i="13" s="1"/>
  <c r="C9" i="13" s="1"/>
  <c r="K8" i="13"/>
  <c r="M8" i="13" s="1"/>
  <c r="C8" i="13" s="1"/>
  <c r="K7" i="13"/>
  <c r="K6" i="13"/>
  <c r="J9" i="13"/>
  <c r="J8" i="13"/>
  <c r="J7" i="13"/>
  <c r="M7" i="13" s="1"/>
  <c r="C7" i="13" s="1"/>
  <c r="J6" i="13"/>
  <c r="M6" i="13" s="1"/>
  <c r="C6" i="13" s="1"/>
  <c r="D34" i="8"/>
  <c r="C34" i="8"/>
  <c r="D23" i="8"/>
  <c r="C23" i="8"/>
  <c r="D11" i="8"/>
  <c r="D10" i="8"/>
  <c r="E10" i="8" s="1"/>
  <c r="F10" i="8" s="1"/>
  <c r="G10" i="8" s="1"/>
  <c r="H10" i="8" s="1"/>
  <c r="C12" i="8"/>
  <c r="D28" i="9"/>
  <c r="C28" i="9"/>
  <c r="D19" i="9"/>
  <c r="C19" i="9"/>
  <c r="C10" i="9"/>
  <c r="D9" i="9"/>
  <c r="E9" i="9" s="1"/>
  <c r="F9" i="9" s="1"/>
  <c r="G9" i="9" s="1"/>
  <c r="H9" i="9" s="1"/>
  <c r="D8" i="9"/>
  <c r="D7" i="9"/>
  <c r="D9" i="8"/>
  <c r="D8" i="8"/>
  <c r="D7" i="8"/>
  <c r="E7" i="8" s="1"/>
  <c r="D28" i="7"/>
  <c r="C28" i="7"/>
  <c r="D19" i="7"/>
  <c r="C19" i="7"/>
  <c r="C10" i="7"/>
  <c r="D9" i="7"/>
  <c r="E9" i="7" s="1"/>
  <c r="F9" i="7" s="1"/>
  <c r="G9" i="7" s="1"/>
  <c r="H9" i="7" s="1"/>
  <c r="D8" i="7"/>
  <c r="D7" i="7"/>
  <c r="E7" i="7" s="1"/>
  <c r="D32" i="5"/>
  <c r="D22" i="5"/>
  <c r="C19" i="4" s="1"/>
  <c r="D10" i="5"/>
  <c r="E10" i="5" s="1"/>
  <c r="F10" i="5" s="1"/>
  <c r="G10" i="5" s="1"/>
  <c r="H10" i="5" s="1"/>
  <c r="D9" i="5"/>
  <c r="E9" i="5" s="1"/>
  <c r="F9" i="5" s="1"/>
  <c r="G9" i="5" s="1"/>
  <c r="H9" i="5" s="1"/>
  <c r="D8" i="5"/>
  <c r="E8" i="5" s="1"/>
  <c r="E12" i="5" s="1"/>
  <c r="E9" i="6"/>
  <c r="F9" i="6" s="1"/>
  <c r="G9" i="6" s="1"/>
  <c r="H9" i="6" s="1"/>
  <c r="D9" i="6"/>
  <c r="D7" i="6"/>
  <c r="C31" i="6"/>
  <c r="C21" i="6"/>
  <c r="G8" i="10"/>
  <c r="C30" i="3"/>
  <c r="M18" i="5" l="1"/>
  <c r="M20" i="5"/>
  <c r="E12" i="3"/>
  <c r="F30" i="6"/>
  <c r="N29" i="14"/>
  <c r="E30" i="3"/>
  <c r="D19" i="4"/>
  <c r="D8" i="16"/>
  <c r="N20" i="5"/>
  <c r="F12" i="3"/>
  <c r="G30" i="6"/>
  <c r="E19" i="4"/>
  <c r="F19" i="4"/>
  <c r="L19" i="5"/>
  <c r="L22" i="5" s="1"/>
  <c r="D18" i="11" s="1"/>
  <c r="D24" i="3"/>
  <c r="N30" i="14"/>
  <c r="M19" i="5"/>
  <c r="N19" i="14"/>
  <c r="R8" i="5"/>
  <c r="D8" i="17"/>
  <c r="N19" i="5"/>
  <c r="D12" i="5"/>
  <c r="D12" i="3"/>
  <c r="E30" i="6"/>
  <c r="K20" i="5"/>
  <c r="C12" i="3"/>
  <c r="D30" i="6"/>
  <c r="N17" i="14"/>
  <c r="O8" i="10"/>
  <c r="D28" i="3" s="1"/>
  <c r="E33" i="2"/>
  <c r="C22" i="4"/>
  <c r="C24" i="4" s="1"/>
  <c r="G19" i="4"/>
  <c r="H31" i="14"/>
  <c r="D7" i="13"/>
  <c r="F7" i="14"/>
  <c r="H28" i="6"/>
  <c r="C11" i="6"/>
  <c r="N8" i="14"/>
  <c r="N28" i="14"/>
  <c r="N20" i="14"/>
  <c r="N9" i="14"/>
  <c r="N18" i="14"/>
  <c r="N7" i="14"/>
  <c r="N27" i="14"/>
  <c r="D30" i="3"/>
  <c r="Q12" i="5"/>
  <c r="L11" i="5"/>
  <c r="C30" i="2"/>
  <c r="Q6" i="10"/>
  <c r="Q8" i="10" s="1"/>
  <c r="F28" i="3" s="1"/>
  <c r="F30" i="3" s="1"/>
  <c r="M9" i="18"/>
  <c r="C9" i="18" s="1"/>
  <c r="M7" i="18"/>
  <c r="C7" i="18" s="1"/>
  <c r="M6" i="18"/>
  <c r="C6" i="18" s="1"/>
  <c r="O19" i="5"/>
  <c r="K9" i="5"/>
  <c r="L8" i="5"/>
  <c r="S8" i="5" s="1"/>
  <c r="D9" i="20"/>
  <c r="D26" i="2" s="1"/>
  <c r="C15" i="4" s="1"/>
  <c r="D12" i="21"/>
  <c r="D18" i="2" s="1"/>
  <c r="F9" i="21"/>
  <c r="C8" i="18"/>
  <c r="F11" i="11"/>
  <c r="E12" i="11"/>
  <c r="F12" i="11" s="1"/>
  <c r="D15" i="11"/>
  <c r="D10" i="9"/>
  <c r="D25" i="2" s="1"/>
  <c r="C14" i="4" s="1"/>
  <c r="E8" i="9"/>
  <c r="F8" i="9" s="1"/>
  <c r="G8" i="9" s="1"/>
  <c r="H8" i="9" s="1"/>
  <c r="F7" i="8"/>
  <c r="D12" i="8"/>
  <c r="D27" i="2" s="1"/>
  <c r="C16" i="4" s="1"/>
  <c r="F7" i="7"/>
  <c r="D10" i="7"/>
  <c r="D17" i="2" s="1"/>
  <c r="C12" i="4" s="1"/>
  <c r="F8" i="5"/>
  <c r="G12" i="3"/>
  <c r="K12" i="5" l="1"/>
  <c r="D7" i="2" s="1"/>
  <c r="D10" i="2" s="1"/>
  <c r="M11" i="5"/>
  <c r="S11" i="5"/>
  <c r="N18" i="5"/>
  <c r="F12" i="5"/>
  <c r="H30" i="6"/>
  <c r="D10" i="6"/>
  <c r="E10" i="6" s="1"/>
  <c r="F10" i="6" s="1"/>
  <c r="G10" i="6" s="1"/>
  <c r="H10" i="6" s="1"/>
  <c r="E24" i="3"/>
  <c r="M22" i="5"/>
  <c r="E18" i="11" s="1"/>
  <c r="E8" i="16"/>
  <c r="E9" i="15"/>
  <c r="E8" i="17"/>
  <c r="R9" i="5"/>
  <c r="D31" i="6"/>
  <c r="E7" i="13"/>
  <c r="K10" i="5"/>
  <c r="O20" i="5"/>
  <c r="E16" i="9"/>
  <c r="K22" i="5"/>
  <c r="C18" i="11" s="1"/>
  <c r="D22" i="4"/>
  <c r="F33" i="2"/>
  <c r="G7" i="14"/>
  <c r="G28" i="3"/>
  <c r="G30" i="3" s="1"/>
  <c r="C24" i="3"/>
  <c r="M8" i="5"/>
  <c r="L9" i="5"/>
  <c r="G9" i="21"/>
  <c r="H9" i="21" s="1"/>
  <c r="F15" i="11"/>
  <c r="G11" i="11"/>
  <c r="G12" i="11"/>
  <c r="E15" i="11"/>
  <c r="G7" i="8"/>
  <c r="G7" i="7"/>
  <c r="G8" i="5"/>
  <c r="H7" i="7" l="1"/>
  <c r="H7" i="8"/>
  <c r="H9" i="15"/>
  <c r="E19" i="9"/>
  <c r="E25" i="9"/>
  <c r="T8" i="5"/>
  <c r="F8" i="16"/>
  <c r="H8" i="16" s="1"/>
  <c r="F9" i="15"/>
  <c r="F8" i="17"/>
  <c r="H8" i="17" s="1"/>
  <c r="F7" i="13"/>
  <c r="H7" i="13" s="1"/>
  <c r="F16" i="9"/>
  <c r="F19" i="9" s="1"/>
  <c r="R10" i="5"/>
  <c r="R12" i="5" s="1"/>
  <c r="L10" i="5"/>
  <c r="N11" i="5"/>
  <c r="T11" i="5"/>
  <c r="F24" i="3"/>
  <c r="N22" i="5"/>
  <c r="F18" i="11" s="1"/>
  <c r="O18" i="5"/>
  <c r="O22" i="5" s="1"/>
  <c r="E7" i="2"/>
  <c r="E10" i="2" s="1"/>
  <c r="S9" i="5"/>
  <c r="H8" i="5"/>
  <c r="H12" i="5" s="1"/>
  <c r="G12" i="5"/>
  <c r="G8" i="17"/>
  <c r="G9" i="15"/>
  <c r="G8" i="16"/>
  <c r="G16" i="9"/>
  <c r="G19" i="9" s="1"/>
  <c r="G7" i="13"/>
  <c r="L12" i="5"/>
  <c r="D24" i="4"/>
  <c r="E22" i="4"/>
  <c r="E24" i="4" s="1"/>
  <c r="G33" i="2"/>
  <c r="H7" i="14"/>
  <c r="M9" i="5"/>
  <c r="T9" i="5" s="1"/>
  <c r="N8" i="5"/>
  <c r="O8" i="5" l="1"/>
  <c r="U11" i="5"/>
  <c r="V11" i="5" s="1"/>
  <c r="O11" i="5"/>
  <c r="M12" i="5"/>
  <c r="F7" i="2" s="1"/>
  <c r="F10" i="2" s="1"/>
  <c r="U8" i="5"/>
  <c r="M10" i="5"/>
  <c r="S10" i="5"/>
  <c r="S12" i="5"/>
  <c r="H16" i="9"/>
  <c r="H33" i="2"/>
  <c r="F22" i="4"/>
  <c r="F24" i="4" s="1"/>
  <c r="G24" i="4" s="1"/>
  <c r="N9" i="5"/>
  <c r="V8" i="5" l="1"/>
  <c r="O9" i="5"/>
  <c r="U9" i="5"/>
  <c r="V9" i="5" s="1"/>
  <c r="N10" i="5"/>
  <c r="U10" i="5" s="1"/>
  <c r="V10" i="5" s="1"/>
  <c r="T10" i="5"/>
  <c r="T12" i="5" s="1"/>
  <c r="G22" i="4"/>
  <c r="V12" i="5" l="1"/>
  <c r="U12" i="5"/>
  <c r="O10" i="5"/>
  <c r="O12" i="5" s="1"/>
  <c r="N12" i="5"/>
  <c r="G7" i="2" s="1"/>
  <c r="G10" i="2" l="1"/>
  <c r="H10" i="2" s="1"/>
  <c r="H7" i="2"/>
  <c r="F7" i="10"/>
  <c r="F6" i="10"/>
  <c r="E7" i="10"/>
  <c r="E6" i="10"/>
  <c r="L6" i="10"/>
  <c r="K8" i="10"/>
  <c r="J8" i="10"/>
  <c r="I8" i="10"/>
  <c r="H8" i="10"/>
  <c r="D24" i="2" s="1"/>
  <c r="C8" i="10"/>
  <c r="L7" i="10"/>
  <c r="F30" i="11"/>
  <c r="E30" i="11"/>
  <c r="D30" i="11"/>
  <c r="C30" i="11"/>
  <c r="G28" i="11"/>
  <c r="G30" i="11" s="1"/>
  <c r="F23" i="11"/>
  <c r="E23" i="11"/>
  <c r="D23" i="11"/>
  <c r="C25" i="11"/>
  <c r="G19" i="11"/>
  <c r="G18" i="11"/>
  <c r="G20" i="11" s="1"/>
  <c r="F20" i="11"/>
  <c r="G8" i="13" s="1"/>
  <c r="E20" i="11"/>
  <c r="F8" i="13" s="1"/>
  <c r="D20" i="11"/>
  <c r="E8" i="13" s="1"/>
  <c r="C20" i="11"/>
  <c r="D8" i="13" s="1"/>
  <c r="G7" i="18"/>
  <c r="F7" i="18"/>
  <c r="E7" i="18"/>
  <c r="G14" i="11"/>
  <c r="G13" i="11"/>
  <c r="C8" i="11"/>
  <c r="F7" i="11"/>
  <c r="F8" i="11" s="1"/>
  <c r="E7" i="11"/>
  <c r="E8" i="11" s="1"/>
  <c r="D7" i="11"/>
  <c r="D8" i="11" s="1"/>
  <c r="C19" i="12"/>
  <c r="E18" i="12"/>
  <c r="F15" i="3" s="1"/>
  <c r="D18" i="12"/>
  <c r="E15" i="3" s="1"/>
  <c r="C18" i="12"/>
  <c r="D15" i="3" s="1"/>
  <c r="B18" i="12"/>
  <c r="F14" i="12"/>
  <c r="E14" i="12"/>
  <c r="F11" i="3" s="1"/>
  <c r="F13" i="3" s="1"/>
  <c r="D14" i="12"/>
  <c r="E11" i="3" s="1"/>
  <c r="E13" i="3" s="1"/>
  <c r="C14" i="12"/>
  <c r="D11" i="3" s="1"/>
  <c r="D13" i="3" s="1"/>
  <c r="B14" i="12"/>
  <c r="C11" i="3" s="1"/>
  <c r="D10" i="12"/>
  <c r="E7" i="3" s="1"/>
  <c r="C10" i="12"/>
  <c r="D7" i="3" s="1"/>
  <c r="B10" i="12"/>
  <c r="B19" i="12" s="1"/>
  <c r="F17" i="12"/>
  <c r="F18" i="12" s="1"/>
  <c r="G15" i="3" s="1"/>
  <c r="F9" i="12"/>
  <c r="F13" i="12"/>
  <c r="E8" i="12"/>
  <c r="E10" i="12" s="1"/>
  <c r="D8" i="12"/>
  <c r="C8" i="12"/>
  <c r="F7" i="3" l="1"/>
  <c r="E19" i="12"/>
  <c r="D10" i="17"/>
  <c r="D10" i="16"/>
  <c r="D11" i="15"/>
  <c r="D9" i="13"/>
  <c r="E17" i="7"/>
  <c r="D9" i="3"/>
  <c r="G7" i="3"/>
  <c r="E27" i="6"/>
  <c r="E7" i="16"/>
  <c r="E7" i="17"/>
  <c r="E8" i="15"/>
  <c r="E6" i="13"/>
  <c r="E6" i="18"/>
  <c r="D24" i="11"/>
  <c r="E22" i="8" s="1"/>
  <c r="E15" i="20"/>
  <c r="E20" i="8"/>
  <c r="E8" i="10"/>
  <c r="F8" i="12"/>
  <c r="F10" i="12" s="1"/>
  <c r="F19" i="12" s="1"/>
  <c r="F27" i="6"/>
  <c r="F31" i="6" s="1"/>
  <c r="F7" i="16"/>
  <c r="F8" i="15"/>
  <c r="F7" i="17"/>
  <c r="F6" i="13"/>
  <c r="F6" i="18"/>
  <c r="E24" i="11"/>
  <c r="F20" i="8"/>
  <c r="F15" i="20"/>
  <c r="F17" i="20" s="1"/>
  <c r="F17" i="7"/>
  <c r="E9" i="3"/>
  <c r="G27" i="6"/>
  <c r="G31" i="6" s="1"/>
  <c r="G8" i="15"/>
  <c r="G7" i="17"/>
  <c r="G7" i="16"/>
  <c r="G6" i="13"/>
  <c r="G6" i="18"/>
  <c r="F24" i="11"/>
  <c r="G20" i="8"/>
  <c r="G15" i="20"/>
  <c r="G17" i="20" s="1"/>
  <c r="D19" i="12"/>
  <c r="C13" i="3"/>
  <c r="G11" i="3"/>
  <c r="G13" i="3" s="1"/>
  <c r="D6" i="13"/>
  <c r="D6" i="18"/>
  <c r="D8" i="15"/>
  <c r="H8" i="15" s="1"/>
  <c r="D7" i="17"/>
  <c r="H7" i="17" s="1"/>
  <c r="H6" i="13"/>
  <c r="D7" i="16"/>
  <c r="H7" i="16" s="1"/>
  <c r="F8" i="10"/>
  <c r="L8" i="10"/>
  <c r="D28" i="2"/>
  <c r="C13" i="4"/>
  <c r="E24" i="2"/>
  <c r="H8" i="13"/>
  <c r="G8" i="18"/>
  <c r="G9" i="17"/>
  <c r="G9" i="16"/>
  <c r="G10" i="15"/>
  <c r="F8" i="4"/>
  <c r="F8" i="18"/>
  <c r="E8" i="4"/>
  <c r="F10" i="15"/>
  <c r="F9" i="17"/>
  <c r="F9" i="16"/>
  <c r="E8" i="18"/>
  <c r="E10" i="15"/>
  <c r="E9" i="17"/>
  <c r="E9" i="16"/>
  <c r="D8" i="4"/>
  <c r="D9" i="17"/>
  <c r="D10" i="15"/>
  <c r="D9" i="16"/>
  <c r="D8" i="18"/>
  <c r="G15" i="11"/>
  <c r="G7" i="11"/>
  <c r="G8" i="11" s="1"/>
  <c r="D7" i="18"/>
  <c r="H7" i="18" s="1"/>
  <c r="D9" i="18"/>
  <c r="G23" i="11"/>
  <c r="G24" i="11"/>
  <c r="D25" i="11"/>
  <c r="E10" i="13" l="1"/>
  <c r="E19" i="8"/>
  <c r="E19" i="7"/>
  <c r="E26" i="7"/>
  <c r="E25" i="11"/>
  <c r="F22" i="8"/>
  <c r="E10" i="16"/>
  <c r="E11" i="15"/>
  <c r="E10" i="17"/>
  <c r="E9" i="13"/>
  <c r="E11" i="17"/>
  <c r="D19" i="3" s="1"/>
  <c r="H20" i="8"/>
  <c r="E9" i="8"/>
  <c r="F9" i="8" s="1"/>
  <c r="G9" i="8" s="1"/>
  <c r="H9" i="8" s="1"/>
  <c r="H27" i="6"/>
  <c r="H31" i="6" s="1"/>
  <c r="E31" i="6"/>
  <c r="E7" i="6"/>
  <c r="E12" i="15"/>
  <c r="D18" i="3" s="1"/>
  <c r="F25" i="11"/>
  <c r="G22" i="8"/>
  <c r="H22" i="8" s="1"/>
  <c r="H15" i="20"/>
  <c r="E17" i="20"/>
  <c r="E23" i="20"/>
  <c r="E7" i="20" s="1"/>
  <c r="G9" i="3"/>
  <c r="F19" i="8"/>
  <c r="F19" i="7"/>
  <c r="E33" i="8"/>
  <c r="G17" i="7"/>
  <c r="H17" i="7" s="1"/>
  <c r="F9" i="3"/>
  <c r="D10" i="13"/>
  <c r="D13" i="4"/>
  <c r="F24" i="2"/>
  <c r="H8" i="18"/>
  <c r="H9" i="16"/>
  <c r="D11" i="16"/>
  <c r="C17" i="3" s="1"/>
  <c r="C8" i="4"/>
  <c r="G8" i="4" s="1"/>
  <c r="G24" i="3"/>
  <c r="H10" i="15"/>
  <c r="D12" i="15"/>
  <c r="C18" i="3" s="1"/>
  <c r="H9" i="17"/>
  <c r="D11" i="17"/>
  <c r="C19" i="3" s="1"/>
  <c r="E9" i="18"/>
  <c r="E10" i="18" s="1"/>
  <c r="E18" i="14" s="1"/>
  <c r="E21" i="14" s="1"/>
  <c r="E18" i="6" s="1"/>
  <c r="E21" i="6" s="1"/>
  <c r="H6" i="18"/>
  <c r="G25" i="11"/>
  <c r="D10" i="18"/>
  <c r="D18" i="14" s="1"/>
  <c r="F23" i="20" l="1"/>
  <c r="F25" i="20" s="1"/>
  <c r="E9" i="20"/>
  <c r="E26" i="2" s="1"/>
  <c r="D15" i="4" s="1"/>
  <c r="D8" i="14"/>
  <c r="D21" i="14"/>
  <c r="E11" i="16"/>
  <c r="D17" i="3" s="1"/>
  <c r="D20" i="3" s="1"/>
  <c r="D22" i="3" s="1"/>
  <c r="D25" i="3" s="1"/>
  <c r="E23" i="8"/>
  <c r="E8" i="8"/>
  <c r="E25" i="20"/>
  <c r="F7" i="6"/>
  <c r="E28" i="7"/>
  <c r="E19" i="21" s="1"/>
  <c r="E34" i="8"/>
  <c r="E11" i="8"/>
  <c r="F23" i="8"/>
  <c r="F11" i="15"/>
  <c r="F12" i="15" s="1"/>
  <c r="E18" i="3" s="1"/>
  <c r="F10" i="17"/>
  <c r="F10" i="16"/>
  <c r="F11" i="16" s="1"/>
  <c r="E17" i="3" s="1"/>
  <c r="F9" i="13"/>
  <c r="F10" i="13" s="1"/>
  <c r="F9" i="18"/>
  <c r="F10" i="18" s="1"/>
  <c r="F18" i="14" s="1"/>
  <c r="F21" i="14" s="1"/>
  <c r="F18" i="6" s="1"/>
  <c r="F21" i="6" s="1"/>
  <c r="G10" i="17"/>
  <c r="G11" i="17" s="1"/>
  <c r="F19" i="3" s="1"/>
  <c r="G10" i="16"/>
  <c r="G11" i="16" s="1"/>
  <c r="F17" i="3" s="1"/>
  <c r="F20" i="3" s="1"/>
  <c r="F22" i="3" s="1"/>
  <c r="F25" i="3" s="1"/>
  <c r="F32" i="3" s="1"/>
  <c r="F36" i="3" s="1"/>
  <c r="F37" i="2" s="1"/>
  <c r="G11" i="15"/>
  <c r="G12" i="15" s="1"/>
  <c r="F18" i="3" s="1"/>
  <c r="G9" i="13"/>
  <c r="G10" i="13" s="1"/>
  <c r="G9" i="18"/>
  <c r="G10" i="18" s="1"/>
  <c r="G18" i="14" s="1"/>
  <c r="G21" i="14" s="1"/>
  <c r="G18" i="6" s="1"/>
  <c r="G21" i="6" s="1"/>
  <c r="G18" i="3"/>
  <c r="G19" i="8"/>
  <c r="G23" i="8" s="1"/>
  <c r="G19" i="7"/>
  <c r="E8" i="7"/>
  <c r="E13" i="4"/>
  <c r="G24" i="2"/>
  <c r="C20" i="3"/>
  <c r="G17" i="3"/>
  <c r="G7" i="6" l="1"/>
  <c r="H18" i="14"/>
  <c r="H21" i="14" s="1"/>
  <c r="H9" i="13"/>
  <c r="H10" i="13" s="1"/>
  <c r="F33" i="8"/>
  <c r="F11" i="8" s="1"/>
  <c r="H10" i="16"/>
  <c r="H11" i="16" s="1"/>
  <c r="H19" i="8"/>
  <c r="F11" i="17"/>
  <c r="E19" i="3" s="1"/>
  <c r="G19" i="3" s="1"/>
  <c r="H10" i="17"/>
  <c r="H11" i="17" s="1"/>
  <c r="F8" i="8"/>
  <c r="E12" i="8"/>
  <c r="E27" i="2" s="1"/>
  <c r="D16" i="4" s="1"/>
  <c r="F7" i="20"/>
  <c r="E8" i="14"/>
  <c r="D11" i="14"/>
  <c r="D16" i="2" s="1"/>
  <c r="E21" i="21"/>
  <c r="D32" i="3"/>
  <c r="D36" i="3" s="1"/>
  <c r="D8" i="19"/>
  <c r="D12" i="19"/>
  <c r="F8" i="19"/>
  <c r="F12" i="19"/>
  <c r="H9" i="18"/>
  <c r="H10" i="18" s="1"/>
  <c r="F26" i="7"/>
  <c r="E10" i="7"/>
  <c r="E17" i="2" s="1"/>
  <c r="H18" i="6"/>
  <c r="D18" i="6"/>
  <c r="H11" i="15"/>
  <c r="H12" i="15" s="1"/>
  <c r="F13" i="4"/>
  <c r="H24" i="2"/>
  <c r="F7" i="4"/>
  <c r="C22" i="3"/>
  <c r="G33" i="8" l="1"/>
  <c r="G34" i="8" s="1"/>
  <c r="F8" i="14"/>
  <c r="E11" i="14"/>
  <c r="E16" i="2" s="1"/>
  <c r="D12" i="4"/>
  <c r="F28" i="7"/>
  <c r="F19" i="21" s="1"/>
  <c r="D37" i="2"/>
  <c r="D7" i="4"/>
  <c r="G8" i="8"/>
  <c r="F12" i="8"/>
  <c r="F27" i="2" s="1"/>
  <c r="E16" i="4" s="1"/>
  <c r="E20" i="3"/>
  <c r="F8" i="7"/>
  <c r="F34" i="8"/>
  <c r="H33" i="8"/>
  <c r="G23" i="20"/>
  <c r="G7" i="20"/>
  <c r="F9" i="20"/>
  <c r="F26" i="2" s="1"/>
  <c r="E15" i="4" s="1"/>
  <c r="D8" i="6"/>
  <c r="D21" i="6"/>
  <c r="H7" i="6"/>
  <c r="G13" i="4"/>
  <c r="C25" i="3"/>
  <c r="G26" i="7" l="1"/>
  <c r="F10" i="7"/>
  <c r="F17" i="2" s="1"/>
  <c r="E22" i="3"/>
  <c r="G20" i="3"/>
  <c r="H8" i="8"/>
  <c r="G12" i="8"/>
  <c r="E8" i="6"/>
  <c r="D11" i="6"/>
  <c r="D15" i="2" s="1"/>
  <c r="G8" i="14"/>
  <c r="F11" i="14"/>
  <c r="F16" i="2" s="1"/>
  <c r="F21" i="21"/>
  <c r="G9" i="20"/>
  <c r="G26" i="2" s="1"/>
  <c r="H7" i="20"/>
  <c r="C8" i="19"/>
  <c r="C12" i="19"/>
  <c r="G25" i="20"/>
  <c r="H23" i="20"/>
  <c r="G11" i="8"/>
  <c r="H11" i="8" s="1"/>
  <c r="C32" i="3"/>
  <c r="E25" i="3" l="1"/>
  <c r="G22" i="3"/>
  <c r="E12" i="4"/>
  <c r="G28" i="7"/>
  <c r="G19" i="21" s="1"/>
  <c r="H26" i="7"/>
  <c r="H8" i="14"/>
  <c r="H11" i="14" s="1"/>
  <c r="G11" i="14"/>
  <c r="G16" i="2" s="1"/>
  <c r="H16" i="2" s="1"/>
  <c r="F8" i="6"/>
  <c r="E11" i="6"/>
  <c r="E15" i="2" s="1"/>
  <c r="G27" i="2"/>
  <c r="F16" i="4" s="1"/>
  <c r="G16" i="4" s="1"/>
  <c r="G8" i="7"/>
  <c r="D19" i="2"/>
  <c r="D11" i="4"/>
  <c r="C11" i="4"/>
  <c r="H26" i="2"/>
  <c r="F15" i="4"/>
  <c r="G15" i="4" s="1"/>
  <c r="C36" i="3"/>
  <c r="C37" i="2" s="1"/>
  <c r="G21" i="21" l="1"/>
  <c r="H19" i="21"/>
  <c r="C17" i="4"/>
  <c r="C9" i="19"/>
  <c r="C13" i="19"/>
  <c r="D30" i="2"/>
  <c r="C10" i="19"/>
  <c r="C11" i="19"/>
  <c r="H27" i="2"/>
  <c r="H8" i="7"/>
  <c r="H10" i="7" s="1"/>
  <c r="G10" i="7"/>
  <c r="G17" i="2" s="1"/>
  <c r="G8" i="6"/>
  <c r="F11" i="6"/>
  <c r="F15" i="2" s="1"/>
  <c r="E32" i="3"/>
  <c r="E8" i="19"/>
  <c r="E12" i="19"/>
  <c r="G25" i="3"/>
  <c r="C38" i="2"/>
  <c r="C40" i="2" s="1"/>
  <c r="D36" i="2"/>
  <c r="E36" i="2" s="1"/>
  <c r="C7" i="4"/>
  <c r="H8" i="6" l="1"/>
  <c r="H11" i="6" s="1"/>
  <c r="G11" i="6"/>
  <c r="G15" i="2" s="1"/>
  <c r="E11" i="4"/>
  <c r="F11" i="4"/>
  <c r="H17" i="2"/>
  <c r="F12" i="4"/>
  <c r="G12" i="4" s="1"/>
  <c r="G8" i="19"/>
  <c r="G12" i="19"/>
  <c r="E36" i="3"/>
  <c r="G32" i="3"/>
  <c r="G34" i="3" s="1"/>
  <c r="D38" i="2"/>
  <c r="D40" i="2" s="1"/>
  <c r="F36" i="2"/>
  <c r="C26" i="4"/>
  <c r="E37" i="2" l="1"/>
  <c r="E38" i="2" s="1"/>
  <c r="E7" i="4"/>
  <c r="G7" i="4" s="1"/>
  <c r="G36" i="3"/>
  <c r="G37" i="2" s="1"/>
  <c r="H37" i="2" s="1"/>
  <c r="G11" i="4"/>
  <c r="H15" i="2"/>
  <c r="G36" i="2"/>
  <c r="F38" i="2"/>
  <c r="C29" i="4"/>
  <c r="E28" i="9"/>
  <c r="E28" i="21" s="1"/>
  <c r="E7" i="9"/>
  <c r="E10" i="9" l="1"/>
  <c r="E25" i="2" s="1"/>
  <c r="D14" i="4" s="1"/>
  <c r="D17" i="4" s="1"/>
  <c r="F25" i="9"/>
  <c r="E30" i="21"/>
  <c r="E10" i="21"/>
  <c r="D28" i="4"/>
  <c r="H36" i="2"/>
  <c r="G38" i="2"/>
  <c r="H38" i="2" s="1"/>
  <c r="E28" i="2"/>
  <c r="F7" i="9"/>
  <c r="G25" i="9" s="1"/>
  <c r="G28" i="9" s="1"/>
  <c r="G28" i="21" s="1"/>
  <c r="G30" i="21" s="1"/>
  <c r="E12" i="21" l="1"/>
  <c r="E18" i="2" s="1"/>
  <c r="E19" i="2" s="1"/>
  <c r="D13" i="19" s="1"/>
  <c r="F28" i="9"/>
  <c r="F28" i="21" s="1"/>
  <c r="H25" i="9"/>
  <c r="F10" i="9"/>
  <c r="F25" i="2" s="1"/>
  <c r="E14" i="4" s="1"/>
  <c r="G7" i="9"/>
  <c r="D26" i="4"/>
  <c r="D9" i="19" l="1"/>
  <c r="D11" i="19"/>
  <c r="D10" i="19"/>
  <c r="E30" i="2"/>
  <c r="E40" i="2" s="1"/>
  <c r="F30" i="21"/>
  <c r="H28" i="21"/>
  <c r="F10" i="21"/>
  <c r="E17" i="4"/>
  <c r="F28" i="2"/>
  <c r="D29" i="4"/>
  <c r="H7" i="9"/>
  <c r="H10" i="9" s="1"/>
  <c r="G10" i="9"/>
  <c r="G25" i="2" s="1"/>
  <c r="F14" i="4" s="1"/>
  <c r="F12" i="21" l="1"/>
  <c r="F18" i="2" s="1"/>
  <c r="F19" i="2" s="1"/>
  <c r="F30" i="2" s="1"/>
  <c r="F40" i="2" s="1"/>
  <c r="G10" i="21"/>
  <c r="E10" i="19"/>
  <c r="E13" i="19"/>
  <c r="E28" i="4"/>
  <c r="G28" i="2"/>
  <c r="H25" i="2"/>
  <c r="E26" i="4"/>
  <c r="G12" i="21" l="1"/>
  <c r="G18" i="2" s="1"/>
  <c r="H10" i="21"/>
  <c r="H12" i="21" s="1"/>
  <c r="E9" i="19"/>
  <c r="E11" i="19"/>
  <c r="F17" i="4"/>
  <c r="F26" i="4" s="1"/>
  <c r="G14" i="4"/>
  <c r="E29" i="4"/>
  <c r="H28" i="2"/>
  <c r="H18" i="2" l="1"/>
  <c r="G19" i="2"/>
  <c r="G17" i="4"/>
  <c r="G26" i="4" s="1"/>
  <c r="G29" i="4" s="1"/>
  <c r="F28" i="4"/>
  <c r="F29" i="4" s="1"/>
  <c r="H19" i="2" l="1"/>
  <c r="F9" i="19"/>
  <c r="F11" i="19"/>
  <c r="F13" i="19"/>
  <c r="G30" i="2"/>
  <c r="G40" i="2" s="1"/>
  <c r="F10" i="19"/>
  <c r="G9" i="19" l="1"/>
  <c r="G11" i="19"/>
  <c r="H30" i="2"/>
  <c r="H40" i="2" s="1"/>
  <c r="G10" i="19"/>
  <c r="G13" i="19"/>
</calcChain>
</file>

<file path=xl/sharedStrings.xml><?xml version="1.0" encoding="utf-8"?>
<sst xmlns="http://schemas.openxmlformats.org/spreadsheetml/2006/main" count="693" uniqueCount="158">
  <si>
    <t>Продукция</t>
  </si>
  <si>
    <t>Стоки</t>
  </si>
  <si>
    <t>Услуги</t>
  </si>
  <si>
    <t>МОНДИАЛ САС</t>
  </si>
  <si>
    <t>Q1</t>
  </si>
  <si>
    <t>Q2</t>
  </si>
  <si>
    <t>Q3</t>
  </si>
  <si>
    <t>Q4</t>
  </si>
  <si>
    <t>Продажба на части</t>
  </si>
  <si>
    <t>000 BGN</t>
  </si>
  <si>
    <t>Изработване на хале</t>
  </si>
  <si>
    <t>Услуги Милара</t>
  </si>
  <si>
    <t>Разхдоди за материали</t>
  </si>
  <si>
    <t>Суровини и материали</t>
  </si>
  <si>
    <t>Разходи за външни услуги</t>
  </si>
  <si>
    <t>Наем производствено хале</t>
  </si>
  <si>
    <t>Разходи за амортизации</t>
  </si>
  <si>
    <t>Разходи за възнаграждания и осигуровки</t>
  </si>
  <si>
    <t>Възнаграждания</t>
  </si>
  <si>
    <t>Осигуровки</t>
  </si>
  <si>
    <t>Отчена стойност отписани активи и стоки</t>
  </si>
  <si>
    <t>Отчена стойност стоки</t>
  </si>
  <si>
    <t>Балансова стойност ДА</t>
  </si>
  <si>
    <t>Обортни кредити</t>
  </si>
  <si>
    <t>Пощенска Банка</t>
  </si>
  <si>
    <t>Лимит</t>
  </si>
  <si>
    <t>Лихва</t>
  </si>
  <si>
    <t>Освояване</t>
  </si>
  <si>
    <t>Алинац банк</t>
  </si>
  <si>
    <t>ГРЛ</t>
  </si>
  <si>
    <t>Инвестиционни кредити</t>
  </si>
  <si>
    <t>Материали и суровини</t>
  </si>
  <si>
    <t>Готова продукция</t>
  </si>
  <si>
    <t>Дълготрайни активи</t>
  </si>
  <si>
    <t>Дълготрайни метериални активи</t>
  </si>
  <si>
    <t>Дълготрайни нематерилани активи</t>
  </si>
  <si>
    <t>Разходи за придобиване на ДМА и ДНМА</t>
  </si>
  <si>
    <t>Дългосрочни инвестиции</t>
  </si>
  <si>
    <t>Краткосрочни активи</t>
  </si>
  <si>
    <t>Приходи от продажба на продукция</t>
  </si>
  <si>
    <t>Приходи от продажби на стоки</t>
  </si>
  <si>
    <t>Отчетна стойност продадени стоки</t>
  </si>
  <si>
    <t>Приходи от продажба на услуги</t>
  </si>
  <si>
    <t>Себестойност продадена продукция</t>
  </si>
  <si>
    <t>Разходи по продажба и маркетинг</t>
  </si>
  <si>
    <t>Разходи за проучване и развитие</t>
  </si>
  <si>
    <t>Административни разходи</t>
  </si>
  <si>
    <t>Амортизации</t>
  </si>
  <si>
    <t>Финансови разходи</t>
  </si>
  <si>
    <t>Разходи за лихви</t>
  </si>
  <si>
    <t>Такси и комисиони</t>
  </si>
  <si>
    <t>EBITDA</t>
  </si>
  <si>
    <t>Резултат преди данъци печалба(загуба)</t>
  </si>
  <si>
    <t>Данък печалба</t>
  </si>
  <si>
    <t>Резултат след данъци - печалба(загуба)</t>
  </si>
  <si>
    <t>Разходи за материали и оборудване</t>
  </si>
  <si>
    <t>Разхдои за услуги</t>
  </si>
  <si>
    <t>Разходи за осигуровки и възнаграждения</t>
  </si>
  <si>
    <t>Balance 2021</t>
  </si>
  <si>
    <t>Balance 2020</t>
  </si>
  <si>
    <t>Наличности</t>
  </si>
  <si>
    <t>Изписани</t>
  </si>
  <si>
    <t>Отписани</t>
  </si>
  <si>
    <t>Машини призводствено оборудване и инвентар</t>
  </si>
  <si>
    <t>Стопански инвентар</t>
  </si>
  <si>
    <t>Компютърна техника</t>
  </si>
  <si>
    <t>Наличности ДМА</t>
  </si>
  <si>
    <t>Закупени ДМА</t>
  </si>
  <si>
    <t>Отписани ДМА</t>
  </si>
  <si>
    <t>Налични</t>
  </si>
  <si>
    <t xml:space="preserve">Начислени </t>
  </si>
  <si>
    <t>Платени</t>
  </si>
  <si>
    <t>Доставчици по аванси</t>
  </si>
  <si>
    <t>Клиенти</t>
  </si>
  <si>
    <t>Други дебитори</t>
  </si>
  <si>
    <t>ДДС</t>
  </si>
  <si>
    <t>Данък върху доходите</t>
  </si>
  <si>
    <t>Разчети митници</t>
  </si>
  <si>
    <t>Разчети осигуряване</t>
  </si>
  <si>
    <t>Доставчици</t>
  </si>
  <si>
    <t>Клиенти по аванси</t>
  </si>
  <si>
    <t>Други кредитори</t>
  </si>
  <si>
    <t>Незавършено производство</t>
  </si>
  <si>
    <t>Материални запаси</t>
  </si>
  <si>
    <t>Парични средства</t>
  </si>
  <si>
    <t xml:space="preserve">Отн. дял </t>
  </si>
  <si>
    <t>%</t>
  </si>
  <si>
    <t>Отн. дял</t>
  </si>
  <si>
    <t>R&amp;D</t>
  </si>
  <si>
    <t>S&amp;M</t>
  </si>
  <si>
    <t>G&amp;M</t>
  </si>
  <si>
    <t>Total</t>
  </si>
  <si>
    <t>Разхoди за услуги</t>
  </si>
  <si>
    <t>Услуги производство</t>
  </si>
  <si>
    <t>Други общи услуги</t>
  </si>
  <si>
    <t>Наеми</t>
  </si>
  <si>
    <t>Разходи за производство на части и модули</t>
  </si>
  <si>
    <t>Разходи за производство на автомобили</t>
  </si>
  <si>
    <t>№</t>
  </si>
  <si>
    <t>Разходи за прозиводство Модиал САС</t>
  </si>
  <si>
    <t>Разходи за производство хале</t>
  </si>
  <si>
    <t>Balance</t>
  </si>
  <si>
    <t>Вложени в производство</t>
  </si>
  <si>
    <t>Изписани от производство</t>
  </si>
  <si>
    <t>PQ2</t>
  </si>
  <si>
    <t>PQ3</t>
  </si>
  <si>
    <t>PQ4</t>
  </si>
  <si>
    <t>P2021</t>
  </si>
  <si>
    <t>Дългосрочни задължения</t>
  </si>
  <si>
    <t>Краткосрочни задължения</t>
  </si>
  <si>
    <t>Нетни активи</t>
  </si>
  <si>
    <t>Собствен капитал</t>
  </si>
  <si>
    <t>Задължения към финансови институции</t>
  </si>
  <si>
    <t>Задължения към доставчи и получени авансии</t>
  </si>
  <si>
    <t>Задължения към персонала</t>
  </si>
  <si>
    <t>Задължения за данъци</t>
  </si>
  <si>
    <t>Вземания и предосатвени аванси</t>
  </si>
  <si>
    <t>Регистриран капитал</t>
  </si>
  <si>
    <t>Задължителни резерви</t>
  </si>
  <si>
    <t>Допълнителни резерви</t>
  </si>
  <si>
    <t>Печалби(загуби) от минали периоди</t>
  </si>
  <si>
    <t>Пачалба(загуба) от текущия период</t>
  </si>
  <si>
    <t>Ratios</t>
  </si>
  <si>
    <t>Profitability (Net income / Revenue)</t>
  </si>
  <si>
    <t>Efficiency (Revenue  / Assets)</t>
  </si>
  <si>
    <t>Leverage (Liabilities / Assets)</t>
  </si>
  <si>
    <t>Operating return on assets (ROA)</t>
  </si>
  <si>
    <t>Return on equity (ROE)</t>
  </si>
  <si>
    <t>Liquidity (Current assets / Current liabilities)</t>
  </si>
  <si>
    <t>По сметки</t>
  </si>
  <si>
    <t>Депозити</t>
  </si>
  <si>
    <t>Парични средства в брой</t>
  </si>
  <si>
    <t>Постъпления</t>
  </si>
  <si>
    <t>Плащания</t>
  </si>
  <si>
    <t>Задължения персонала</t>
  </si>
  <si>
    <t>Задължения към СД</t>
  </si>
  <si>
    <t>Chek---&gt;</t>
  </si>
  <si>
    <t>Нетни приходи от продажби</t>
  </si>
  <si>
    <t>Разходи за аморизации</t>
  </si>
  <si>
    <t>Промени в оборотния капитал</t>
  </si>
  <si>
    <t>Плащания за покупка на дълготрайни активи</t>
  </si>
  <si>
    <t>Получени дългосрочни заеми</t>
  </si>
  <si>
    <t>Постъпления от емисия на акции</t>
  </si>
  <si>
    <t>Плащания по дългосрочни заеми</t>
  </si>
  <si>
    <t>Паричен поток за периода</t>
  </si>
  <si>
    <t>Налични парични средства в началото на периода</t>
  </si>
  <si>
    <t>Налични парични средства в края на периода</t>
  </si>
  <si>
    <t>Начислени</t>
  </si>
  <si>
    <t>Вземания и предостaвени аванси</t>
  </si>
  <si>
    <t>WIP</t>
  </si>
  <si>
    <t>Разходи за придобива нa ДМА</t>
  </si>
  <si>
    <t xml:space="preserve">Финансови разходи </t>
  </si>
  <si>
    <t>Разходи за такси и комисиони</t>
  </si>
  <si>
    <t>Балансова стойност</t>
  </si>
  <si>
    <t>Материални ДА</t>
  </si>
  <si>
    <t>Нематериялни ДА</t>
  </si>
  <si>
    <t xml:space="preserve">Заприходени </t>
  </si>
  <si>
    <t>Оператиwен резултат печалба(загуба)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</si>
</sst>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_ ;_ * \(#,##0.00\)_ ;_ * &quot;-&quot;??_)_ ;_ @_ "/>
    <numFmt numFmtId="165" formatCode="_ * #,##0.0_)_ ;_ * \(#,##0.0\)_ ;_ * &quot;-&quot;??_)_ ;_ @_ "/>
    <numFmt numFmtId="166" formatCode="_ * #,##0_)_ ;_ * \(#,##0\)_ ;_ * &quot;-&quot;??_)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6" fillId="0" borderId="0" xfId="0" applyFont="1"/>
    <xf numFmtId="164" fontId="0" fillId="0" borderId="0" xfId="1" applyFont="1"/>
    <xf numFmtId="165" fontId="0" fillId="0" borderId="0" xfId="1" applyNumberFormat="1" applyFont="1"/>
    <xf numFmtId="166" fontId="0" fillId="0" borderId="0" xfId="1" applyNumberFormat="1" applyFont="1"/>
    <xf numFmtId="166" fontId="4" fillId="0" borderId="0" xfId="1" applyNumberFormat="1" applyFont="1"/>
    <xf numFmtId="0" fontId="0" fillId="0" borderId="0" xfId="0" quotePrefix="1" applyAlignment="1">
      <alignment horizontal="center"/>
    </xf>
    <xf numFmtId="0" fontId="4" fillId="0" borderId="0" xfId="0" applyFont="1"/>
    <xf numFmtId="0" fontId="6" fillId="0" borderId="1" xfId="0" applyFont="1" applyBorder="1"/>
    <xf numFmtId="166" fontId="0" fillId="0" borderId="1" xfId="1" applyNumberFormat="1" applyFont="1" applyBorder="1"/>
    <xf numFmtId="166" fontId="4" fillId="0" borderId="1" xfId="1" applyNumberFormat="1" applyFont="1" applyBorder="1"/>
    <xf numFmtId="0" fontId="0" fillId="0" borderId="1" xfId="0" applyBorder="1"/>
    <xf numFmtId="0" fontId="0" fillId="0" borderId="2" xfId="0" applyBorder="1"/>
    <xf numFmtId="166" fontId="4" fillId="0" borderId="2" xfId="1" applyNumberFormat="1" applyFont="1" applyBorder="1"/>
    <xf numFmtId="0" fontId="0" fillId="2" borderId="0" xfId="0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10" fontId="0" fillId="0" borderId="0" xfId="2" applyNumberFormat="1" applyFont="1"/>
    <xf numFmtId="0" fontId="4" fillId="0" borderId="1" xfId="0" applyFont="1" applyBorder="1"/>
    <xf numFmtId="166" fontId="0" fillId="0" borderId="0" xfId="1" applyNumberFormat="1" applyFont="1" applyBorder="1"/>
    <xf numFmtId="0" fontId="4" fillId="0" borderId="2" xfId="0" applyFont="1" applyBorder="1"/>
    <xf numFmtId="166" fontId="4" fillId="0" borderId="1" xfId="0" applyNumberFormat="1" applyFont="1" applyBorder="1"/>
    <xf numFmtId="9" fontId="0" fillId="0" borderId="0" xfId="0" applyNumberFormat="1"/>
    <xf numFmtId="0" fontId="0" fillId="0" borderId="0" xfId="0" applyFont="1"/>
    <xf numFmtId="166" fontId="1" fillId="0" borderId="0" xfId="1" applyNumberFormat="1" applyFont="1"/>
    <xf numFmtId="0" fontId="0" fillId="0" borderId="1" xfId="0" applyFont="1" applyBorder="1"/>
    <xf numFmtId="0" fontId="4" fillId="0" borderId="0" xfId="0" applyFont="1" applyAlignment="1">
      <alignment horizontal="right"/>
    </xf>
    <xf numFmtId="0" fontId="2" fillId="2" borderId="0" xfId="0" quotePrefix="1" applyFont="1" applyFill="1" applyAlignment="1">
      <alignment horizontal="center"/>
    </xf>
    <xf numFmtId="0" fontId="4" fillId="0" borderId="3" xfId="0" applyFont="1" applyBorder="1"/>
    <xf numFmtId="166" fontId="4" fillId="0" borderId="3" xfId="1" applyNumberFormat="1" applyFont="1" applyBorder="1"/>
    <xf numFmtId="0" fontId="2" fillId="2" borderId="0" xfId="0" applyFont="1" applyFill="1" applyAlignment="1" applyProtection="1">
      <alignment vertical="center"/>
      <protection hidden="1"/>
    </xf>
    <xf numFmtId="0" fontId="2" fillId="2" borderId="0" xfId="3" applyFont="1" applyFill="1" applyAlignment="1" applyProtection="1">
      <alignment horizontal="center" vertical="center"/>
      <protection hidden="1"/>
    </xf>
    <xf numFmtId="164" fontId="2" fillId="2" borderId="0" xfId="1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3" applyFont="1"/>
    <xf numFmtId="10" fontId="0" fillId="0" borderId="0" xfId="2" applyNumberFormat="1" applyFont="1" applyAlignment="1" applyProtection="1">
      <alignment vertical="center"/>
      <protection hidden="1"/>
    </xf>
    <xf numFmtId="10" fontId="0" fillId="0" borderId="0" xfId="2" applyNumberFormat="1" applyFont="1" applyBorder="1" applyAlignment="1" applyProtection="1">
      <alignment vertical="center"/>
      <protection hidden="1"/>
    </xf>
    <xf numFmtId="10" fontId="7" fillId="0" borderId="0" xfId="2" applyNumberFormat="1" applyFont="1" applyFill="1" applyBorder="1" applyAlignment="1" applyProtection="1">
      <alignment vertical="center"/>
      <protection hidden="1"/>
    </xf>
    <xf numFmtId="0" fontId="3" fillId="0" borderId="0" xfId="3" applyFont="1" applyBorder="1" applyAlignment="1" applyProtection="1">
      <alignment vertical="center"/>
      <protection hidden="1"/>
    </xf>
    <xf numFmtId="166" fontId="8" fillId="0" borderId="0" xfId="1" applyNumberFormat="1" applyFont="1" applyFill="1" applyBorder="1"/>
    <xf numFmtId="166" fontId="9" fillId="0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8" fillId="0" borderId="0" xfId="0" applyFont="1" applyFill="1" applyBorder="1"/>
    <xf numFmtId="166" fontId="10" fillId="0" borderId="0" xfId="0" applyNumberFormat="1" applyFont="1"/>
    <xf numFmtId="164" fontId="4" fillId="0" borderId="0" xfId="1" applyNumberFormat="1" applyFont="1"/>
  </cellXfs>
  <cellStyles count="4">
    <cellStyle name="Comma" xfId="1" builtinId="3"/>
    <cellStyle name="Explanatory Text" xfId="3" builtinId="5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20"/>
  <sheetViews>
    <sheetView tabSelected="1" workbookViewId="0">
      <selection activeCell="L18" sqref="L18"/>
    </sheetView>
  </sheetViews>
  <sheetFormatPr defaultColWidth="11" defaultRowHeight="15.75" x14ac:dyDescent="0.25"/>
  <cols>
    <col min="1" max="1" width="2.125" style="8" bestFit="1" customWidth="1"/>
    <col min="2" max="2" width="42.125" bestFit="1" customWidth="1"/>
    <col min="3" max="3" width="12.125" bestFit="1" customWidth="1"/>
    <col min="4" max="8" width="8.5" bestFit="1" customWidth="1"/>
  </cols>
  <sheetData>
    <row r="3" spans="1:8" x14ac:dyDescent="0.25">
      <c r="A3" s="15"/>
      <c r="B3" s="16"/>
      <c r="C3" s="17" t="s">
        <v>59</v>
      </c>
      <c r="D3" s="17" t="s">
        <v>4</v>
      </c>
      <c r="E3" s="17" t="s">
        <v>104</v>
      </c>
      <c r="F3" s="17" t="s">
        <v>105</v>
      </c>
      <c r="G3" s="17" t="s">
        <v>106</v>
      </c>
      <c r="H3" s="17" t="s">
        <v>107</v>
      </c>
    </row>
    <row r="4" spans="1:8" x14ac:dyDescent="0.25">
      <c r="A4" s="15"/>
      <c r="B4" s="16"/>
      <c r="C4" s="31" t="s">
        <v>9</v>
      </c>
      <c r="D4" s="31" t="s">
        <v>9</v>
      </c>
      <c r="E4" s="31" t="s">
        <v>9</v>
      </c>
      <c r="F4" s="31" t="s">
        <v>9</v>
      </c>
      <c r="G4" s="31" t="s">
        <v>9</v>
      </c>
      <c r="H4" s="31" t="s">
        <v>9</v>
      </c>
    </row>
    <row r="5" spans="1:8" x14ac:dyDescent="0.25">
      <c r="C5" s="5"/>
      <c r="D5" s="5"/>
      <c r="E5" s="5"/>
      <c r="F5" s="5"/>
      <c r="G5" s="5"/>
      <c r="H5" s="5"/>
    </row>
    <row r="6" spans="1:8" x14ac:dyDescent="0.25">
      <c r="A6" s="8">
        <v>1</v>
      </c>
      <c r="B6" s="8" t="s">
        <v>33</v>
      </c>
      <c r="C6" s="5"/>
      <c r="D6" s="5"/>
      <c r="E6" s="5"/>
      <c r="F6" s="5"/>
      <c r="G6" s="5"/>
      <c r="H6" s="5"/>
    </row>
    <row r="7" spans="1:8" x14ac:dyDescent="0.25">
      <c r="B7" t="s">
        <v>34</v>
      </c>
      <c r="C7" s="28">
        <v>10</v>
      </c>
      <c r="D7" s="5">
        <f>FA!D12-FA!K12</f>
        <v>13.908239700374532</v>
      </c>
      <c r="E7" s="5">
        <f>FA!E12-FA!L12</f>
        <v>287.69147940074907</v>
      </c>
      <c r="F7" s="5">
        <f>FA!F12-FA!M12</f>
        <v>635.03721910112358</v>
      </c>
      <c r="G7" s="5">
        <f>FA!G12-FA!N12</f>
        <v>810.74953183520597</v>
      </c>
      <c r="H7" s="6">
        <f>G7</f>
        <v>810.74953183520597</v>
      </c>
    </row>
    <row r="8" spans="1:8" x14ac:dyDescent="0.25">
      <c r="B8" t="s">
        <v>35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ref="H8:H9" si="0">G8</f>
        <v>0</v>
      </c>
    </row>
    <row r="9" spans="1:8" x14ac:dyDescent="0.25">
      <c r="B9" t="s">
        <v>36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1:8" x14ac:dyDescent="0.25">
      <c r="A10" s="22"/>
      <c r="B10" s="12"/>
      <c r="C10" s="11">
        <f>SUM(C7:C9)</f>
        <v>10</v>
      </c>
      <c r="D10" s="11">
        <f t="shared" ref="D10:G10" si="1">SUM(D7:D9)</f>
        <v>13.908239700374532</v>
      </c>
      <c r="E10" s="11">
        <f t="shared" si="1"/>
        <v>287.69147940074907</v>
      </c>
      <c r="F10" s="11">
        <f t="shared" si="1"/>
        <v>635.03721910112358</v>
      </c>
      <c r="G10" s="11">
        <f t="shared" si="1"/>
        <v>810.74953183520597</v>
      </c>
      <c r="H10" s="11">
        <f>G10</f>
        <v>810.74953183520597</v>
      </c>
    </row>
    <row r="11" spans="1:8" x14ac:dyDescent="0.25">
      <c r="C11" s="5"/>
      <c r="D11" s="5"/>
      <c r="E11" s="5"/>
      <c r="F11" s="5"/>
      <c r="G11" s="5"/>
      <c r="H11" s="5"/>
    </row>
    <row r="12" spans="1:8" x14ac:dyDescent="0.25">
      <c r="A12" s="22">
        <v>2</v>
      </c>
      <c r="B12" s="22" t="s">
        <v>37</v>
      </c>
      <c r="C12" s="11">
        <v>17994</v>
      </c>
      <c r="D12" s="11">
        <v>17994</v>
      </c>
      <c r="E12" s="11">
        <v>17994</v>
      </c>
      <c r="F12" s="11">
        <v>17994</v>
      </c>
      <c r="G12" s="11">
        <v>17994</v>
      </c>
      <c r="H12" s="11">
        <f>G12</f>
        <v>17994</v>
      </c>
    </row>
    <row r="13" spans="1:8" x14ac:dyDescent="0.25">
      <c r="C13" s="5"/>
      <c r="D13" s="5"/>
      <c r="E13" s="5"/>
      <c r="F13" s="5"/>
      <c r="G13" s="5"/>
      <c r="H13" s="5"/>
    </row>
    <row r="14" spans="1:8" x14ac:dyDescent="0.25">
      <c r="A14" s="8">
        <v>3</v>
      </c>
      <c r="B14" s="8" t="s">
        <v>38</v>
      </c>
      <c r="C14" s="5"/>
      <c r="D14" s="5"/>
      <c r="E14" s="5"/>
      <c r="F14" s="5"/>
      <c r="G14" s="5"/>
      <c r="H14" s="5"/>
    </row>
    <row r="15" spans="1:8" x14ac:dyDescent="0.25">
      <c r="B15" t="s">
        <v>83</v>
      </c>
      <c r="C15" s="5">
        <v>453</v>
      </c>
      <c r="D15" s="5">
        <f>Inventory!D11</f>
        <v>544.67046816479399</v>
      </c>
      <c r="E15" s="5">
        <f>Inventory!E11</f>
        <v>714.54268632958804</v>
      </c>
      <c r="F15" s="5">
        <f>Inventory!F11</f>
        <v>909.64452949438203</v>
      </c>
      <c r="G15" s="5">
        <f>Inventory!G11</f>
        <v>1679.4443437906366</v>
      </c>
      <c r="H15" s="6">
        <f>G15</f>
        <v>1679.4443437906366</v>
      </c>
    </row>
    <row r="16" spans="1:8" x14ac:dyDescent="0.25">
      <c r="B16" s="27" t="s">
        <v>82</v>
      </c>
      <c r="C16" s="5">
        <v>0</v>
      </c>
      <c r="D16" s="5">
        <f>WIP!D11</f>
        <v>53.170468164794002</v>
      </c>
      <c r="E16" s="5">
        <f>WIP!E11</f>
        <v>182.04268632958804</v>
      </c>
      <c r="F16" s="5">
        <f>WIP!F11</f>
        <v>336.14452949438203</v>
      </c>
      <c r="G16" s="5">
        <f>WIP!G11</f>
        <v>4.3437906366534662E-3</v>
      </c>
      <c r="H16" s="6">
        <f t="shared" ref="H16:H18" si="2">G16</f>
        <v>4.3437906366534662E-3</v>
      </c>
    </row>
    <row r="17" spans="1:8" x14ac:dyDescent="0.25">
      <c r="B17" t="s">
        <v>116</v>
      </c>
      <c r="C17" s="5">
        <v>202</v>
      </c>
      <c r="D17" s="5">
        <f>Receivables!D10</f>
        <v>608</v>
      </c>
      <c r="E17" s="5">
        <f>Receivables!E10</f>
        <v>728.5333333333333</v>
      </c>
      <c r="F17" s="5">
        <f>Receivables!F10</f>
        <v>701.33333333333326</v>
      </c>
      <c r="G17" s="5">
        <f>Receivables!G10</f>
        <v>765.33333333333326</v>
      </c>
      <c r="H17" s="6">
        <f t="shared" si="2"/>
        <v>765.33333333333326</v>
      </c>
    </row>
    <row r="18" spans="1:8" x14ac:dyDescent="0.25">
      <c r="B18" t="s">
        <v>84</v>
      </c>
      <c r="C18" s="5">
        <v>26</v>
      </c>
      <c r="D18" s="5">
        <f>Cash!D12</f>
        <v>103</v>
      </c>
      <c r="E18" s="5">
        <f>Cash!E12</f>
        <v>1872.1866666666665</v>
      </c>
      <c r="F18" s="5">
        <f>Cash!F12</f>
        <v>1392.7666666666664</v>
      </c>
      <c r="G18" s="5">
        <f>Cash!G12</f>
        <v>849.29170266666654</v>
      </c>
      <c r="H18" s="6">
        <f t="shared" si="2"/>
        <v>849.29170266666654</v>
      </c>
    </row>
    <row r="19" spans="1:8" x14ac:dyDescent="0.25">
      <c r="A19" s="22"/>
      <c r="B19" s="12"/>
      <c r="C19" s="11">
        <f>SUM(C15:C18)</f>
        <v>681</v>
      </c>
      <c r="D19" s="11">
        <f t="shared" ref="D19:G19" si="3">SUM(D15:D18)</f>
        <v>1308.840936329588</v>
      </c>
      <c r="E19" s="11">
        <f t="shared" si="3"/>
        <v>3497.3053726591761</v>
      </c>
      <c r="F19" s="11">
        <f t="shared" si="3"/>
        <v>3339.8890589887637</v>
      </c>
      <c r="G19" s="11">
        <f t="shared" si="3"/>
        <v>3294.073723581273</v>
      </c>
      <c r="H19" s="11">
        <f>G19</f>
        <v>3294.073723581273</v>
      </c>
    </row>
    <row r="20" spans="1:8" x14ac:dyDescent="0.25">
      <c r="C20" s="5"/>
      <c r="D20" s="5"/>
      <c r="E20" s="5"/>
      <c r="F20" s="5"/>
      <c r="G20" s="5"/>
      <c r="H20" s="5"/>
    </row>
    <row r="21" spans="1:8" s="8" customFormat="1" x14ac:dyDescent="0.25">
      <c r="A21" s="22">
        <v>4</v>
      </c>
      <c r="B21" s="22" t="s">
        <v>108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G21</f>
        <v>0</v>
      </c>
    </row>
    <row r="22" spans="1:8" x14ac:dyDescent="0.25">
      <c r="C22" s="5"/>
      <c r="D22" s="5"/>
      <c r="E22" s="5"/>
      <c r="F22" s="5"/>
      <c r="G22" s="5"/>
      <c r="H22" s="5"/>
    </row>
    <row r="23" spans="1:8" s="8" customFormat="1" x14ac:dyDescent="0.25">
      <c r="A23" s="8">
        <v>5</v>
      </c>
      <c r="B23" s="8" t="s">
        <v>109</v>
      </c>
      <c r="C23" s="6"/>
      <c r="D23" s="6"/>
      <c r="E23" s="6"/>
      <c r="F23" s="6"/>
      <c r="G23" s="6"/>
      <c r="H23" s="6"/>
    </row>
    <row r="24" spans="1:8" x14ac:dyDescent="0.25">
      <c r="B24" t="s">
        <v>112</v>
      </c>
      <c r="C24" s="5">
        <v>0</v>
      </c>
      <c r="D24" s="5">
        <f>Loan!H8</f>
        <v>320</v>
      </c>
      <c r="E24" s="5">
        <f>D24+Loan!I8</f>
        <v>514</v>
      </c>
      <c r="F24" s="5">
        <f>E24+Loan!J8</f>
        <v>704</v>
      </c>
      <c r="G24" s="5">
        <f>F24+Loan!K8</f>
        <v>830</v>
      </c>
      <c r="H24" s="6">
        <f>G24</f>
        <v>830</v>
      </c>
    </row>
    <row r="25" spans="1:8" x14ac:dyDescent="0.25">
      <c r="B25" t="s">
        <v>113</v>
      </c>
      <c r="C25" s="5">
        <v>22</v>
      </c>
      <c r="D25" s="5">
        <f>Paybles!D10</f>
        <v>215</v>
      </c>
      <c r="E25" s="5">
        <f>Paybles!E10</f>
        <v>520.4</v>
      </c>
      <c r="F25" s="5">
        <f>Paybles!F10</f>
        <v>620.07999999999993</v>
      </c>
      <c r="G25" s="5">
        <f>Paybles!G10</f>
        <v>558.06992800000012</v>
      </c>
      <c r="H25" s="6">
        <f t="shared" ref="H25:H27" si="4">G25</f>
        <v>558.06992800000012</v>
      </c>
    </row>
    <row r="26" spans="1:8" x14ac:dyDescent="0.25">
      <c r="B26" t="s">
        <v>114</v>
      </c>
      <c r="C26" s="5">
        <v>11</v>
      </c>
      <c r="D26" s="5">
        <f>Personal!D9</f>
        <v>11</v>
      </c>
      <c r="E26" s="5">
        <f>Personal!E9</f>
        <v>18</v>
      </c>
      <c r="F26" s="5">
        <f>Personal!F9</f>
        <v>18</v>
      </c>
      <c r="G26" s="5">
        <f>Personal!G9</f>
        <v>18</v>
      </c>
      <c r="H26" s="6">
        <f t="shared" si="4"/>
        <v>18</v>
      </c>
    </row>
    <row r="27" spans="1:8" x14ac:dyDescent="0.25">
      <c r="B27" t="s">
        <v>115</v>
      </c>
      <c r="C27" s="5">
        <v>13</v>
      </c>
      <c r="D27" s="5">
        <f>Tax!D12+59</f>
        <v>70</v>
      </c>
      <c r="E27" s="5">
        <f>Tax!E12+132</f>
        <v>86.933333333333337</v>
      </c>
      <c r="F27" s="5">
        <f>Tax!F12+100</f>
        <v>-27.853333333333367</v>
      </c>
      <c r="G27" s="5">
        <f>Tax!G12+89</f>
        <v>-90.137482000000034</v>
      </c>
      <c r="H27" s="6">
        <f t="shared" si="4"/>
        <v>-90.137482000000034</v>
      </c>
    </row>
    <row r="28" spans="1:8" x14ac:dyDescent="0.25">
      <c r="A28" s="29"/>
      <c r="B28" s="29"/>
      <c r="C28" s="11">
        <f>SUM(C24:C27)</f>
        <v>46</v>
      </c>
      <c r="D28" s="11">
        <f t="shared" ref="D28:G28" si="5">SUM(D24:D27)</f>
        <v>616</v>
      </c>
      <c r="E28" s="11">
        <f t="shared" si="5"/>
        <v>1139.3333333333335</v>
      </c>
      <c r="F28" s="11">
        <f t="shared" si="5"/>
        <v>1314.2266666666665</v>
      </c>
      <c r="G28" s="11">
        <f t="shared" si="5"/>
        <v>1315.932446</v>
      </c>
      <c r="H28" s="11">
        <f>G28</f>
        <v>1315.932446</v>
      </c>
    </row>
    <row r="29" spans="1:8" x14ac:dyDescent="0.25">
      <c r="C29" s="5"/>
      <c r="D29" s="5"/>
      <c r="E29" s="5"/>
      <c r="F29" s="5"/>
      <c r="G29" s="5"/>
      <c r="H29" s="5"/>
    </row>
    <row r="30" spans="1:8" x14ac:dyDescent="0.25">
      <c r="A30" s="22">
        <v>6</v>
      </c>
      <c r="B30" s="22" t="s">
        <v>110</v>
      </c>
      <c r="C30" s="11">
        <f>C10+C12+C19-C21-C28</f>
        <v>18639</v>
      </c>
      <c r="D30" s="11">
        <f t="shared" ref="D30:H30" si="6">D10+D12+D19-D21-D28</f>
        <v>18700.74917602996</v>
      </c>
      <c r="E30" s="11">
        <f t="shared" si="6"/>
        <v>20639.663518726593</v>
      </c>
      <c r="F30" s="11">
        <f t="shared" si="6"/>
        <v>20654.699611423221</v>
      </c>
      <c r="G30" s="11">
        <f t="shared" si="6"/>
        <v>20782.89080941648</v>
      </c>
      <c r="H30" s="11">
        <f t="shared" si="6"/>
        <v>20782.89080941648</v>
      </c>
    </row>
    <row r="31" spans="1:8" x14ac:dyDescent="0.25">
      <c r="C31" s="5"/>
      <c r="D31" s="5"/>
      <c r="E31" s="5"/>
      <c r="F31" s="5"/>
      <c r="G31" s="5"/>
      <c r="H31" s="5"/>
    </row>
    <row r="32" spans="1:8" s="8" customFormat="1" x14ac:dyDescent="0.25">
      <c r="A32" s="8">
        <v>7</v>
      </c>
      <c r="B32" s="8" t="s">
        <v>111</v>
      </c>
      <c r="C32" s="6"/>
      <c r="D32" s="6"/>
      <c r="E32" s="6"/>
      <c r="F32" s="6"/>
      <c r="G32" s="6"/>
      <c r="H32" s="6"/>
    </row>
    <row r="33" spans="1:8" x14ac:dyDescent="0.25">
      <c r="B33" t="s">
        <v>117</v>
      </c>
      <c r="C33" s="5">
        <v>18544</v>
      </c>
      <c r="D33" s="5">
        <f>C33</f>
        <v>18544</v>
      </c>
      <c r="E33" s="5">
        <f>D33+2000</f>
        <v>20544</v>
      </c>
      <c r="F33" s="5">
        <f>E33</f>
        <v>20544</v>
      </c>
      <c r="G33" s="5">
        <f>F33</f>
        <v>20544</v>
      </c>
      <c r="H33" s="6">
        <f>G33</f>
        <v>20544</v>
      </c>
    </row>
    <row r="34" spans="1:8" x14ac:dyDescent="0.25">
      <c r="B34" t="s">
        <v>118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>G34</f>
        <v>0</v>
      </c>
    </row>
    <row r="35" spans="1:8" x14ac:dyDescent="0.25">
      <c r="B35" t="s">
        <v>119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f>G35</f>
        <v>0</v>
      </c>
    </row>
    <row r="36" spans="1:8" x14ac:dyDescent="0.25">
      <c r="B36" t="s">
        <v>120</v>
      </c>
      <c r="C36" s="5">
        <v>29</v>
      </c>
      <c r="D36" s="5">
        <f>C36+C37</f>
        <v>95.382902621722835</v>
      </c>
      <c r="E36" s="5">
        <f>D36</f>
        <v>95.382902621722835</v>
      </c>
      <c r="F36" s="5">
        <f>E36</f>
        <v>95.382902621722835</v>
      </c>
      <c r="G36" s="5">
        <f>F36</f>
        <v>95.382902621722835</v>
      </c>
      <c r="H36" s="6">
        <f>G36</f>
        <v>95.382902621722835</v>
      </c>
    </row>
    <row r="37" spans="1:8" x14ac:dyDescent="0.25">
      <c r="B37" t="s">
        <v>121</v>
      </c>
      <c r="C37" s="5">
        <f>PL!C36</f>
        <v>66.382902621722835</v>
      </c>
      <c r="D37" s="5">
        <f>PL!D36</f>
        <v>61.64715262172286</v>
      </c>
      <c r="E37" s="5">
        <f>PL!E36</f>
        <v>0.37702762172281545</v>
      </c>
      <c r="F37" s="5">
        <f>PL!F36</f>
        <v>14.956290576779057</v>
      </c>
      <c r="G37" s="5">
        <f>PL!G36</f>
        <v>143.36337344194757</v>
      </c>
      <c r="H37" s="6">
        <f>G37</f>
        <v>143.36337344194757</v>
      </c>
    </row>
    <row r="38" spans="1:8" x14ac:dyDescent="0.25">
      <c r="A38" s="22"/>
      <c r="B38" s="22"/>
      <c r="C38" s="11">
        <f>SUM(C33:C37)</f>
        <v>18639.382902621724</v>
      </c>
      <c r="D38" s="11">
        <f t="shared" ref="D38:G38" si="7">SUM(D33:D37)</f>
        <v>18701.030055243449</v>
      </c>
      <c r="E38" s="11">
        <f t="shared" si="7"/>
        <v>20639.759930243446</v>
      </c>
      <c r="F38" s="11">
        <f t="shared" si="7"/>
        <v>20654.339193198502</v>
      </c>
      <c r="G38" s="11">
        <f t="shared" si="7"/>
        <v>20782.746276063674</v>
      </c>
      <c r="H38" s="11">
        <f>G38</f>
        <v>20782.746276063674</v>
      </c>
    </row>
    <row r="39" spans="1:8" x14ac:dyDescent="0.25">
      <c r="C39" s="5"/>
      <c r="D39" s="5"/>
      <c r="E39" s="5"/>
      <c r="F39" s="5"/>
      <c r="G39" s="5"/>
      <c r="H39" s="5"/>
    </row>
    <row r="40" spans="1:8" x14ac:dyDescent="0.25">
      <c r="B40" s="30" t="s">
        <v>136</v>
      </c>
      <c r="C40" s="50">
        <f t="shared" ref="C40:H40" si="8">C30-C38</f>
        <v>-0.38290262172449729</v>
      </c>
      <c r="D40" s="50">
        <f t="shared" si="8"/>
        <v>-0.28087921348924283</v>
      </c>
      <c r="E40" s="50">
        <f t="shared" si="8"/>
        <v>-9.6411516853549983E-2</v>
      </c>
      <c r="F40" s="50">
        <f t="shared" si="8"/>
        <v>0.36041822471815976</v>
      </c>
      <c r="G40" s="50">
        <f t="shared" si="8"/>
        <v>0.14453335280632018</v>
      </c>
      <c r="H40" s="50">
        <f t="shared" si="8"/>
        <v>0.14453335280632018</v>
      </c>
    </row>
    <row r="41" spans="1:8" x14ac:dyDescent="0.25">
      <c r="C41" s="5"/>
      <c r="D41" s="5"/>
      <c r="E41" s="5"/>
      <c r="F41" s="5"/>
      <c r="G41" s="5"/>
      <c r="H41" s="5"/>
    </row>
    <row r="42" spans="1:8" x14ac:dyDescent="0.25">
      <c r="C42" s="5"/>
      <c r="D42" s="5"/>
      <c r="E42" s="5"/>
      <c r="F42" s="5"/>
      <c r="G42" s="5"/>
      <c r="H42" s="5"/>
    </row>
    <row r="43" spans="1:8" x14ac:dyDescent="0.25">
      <c r="C43" s="5"/>
      <c r="D43" s="5"/>
      <c r="E43" s="5"/>
      <c r="F43" s="5"/>
      <c r="G43" s="5"/>
      <c r="H43" s="5"/>
    </row>
    <row r="44" spans="1:8" x14ac:dyDescent="0.25">
      <c r="C44" s="5"/>
      <c r="D44" s="5"/>
      <c r="E44" s="5"/>
      <c r="F44" s="5"/>
      <c r="G44" s="5"/>
      <c r="H44" s="5"/>
    </row>
    <row r="45" spans="1:8" x14ac:dyDescent="0.25">
      <c r="C45" s="5"/>
      <c r="D45" s="5"/>
      <c r="E45" s="5"/>
      <c r="F45" s="5"/>
      <c r="G45" s="5"/>
      <c r="H45" s="5"/>
    </row>
    <row r="46" spans="1:8" x14ac:dyDescent="0.25">
      <c r="C46" s="5"/>
      <c r="D46" s="5"/>
      <c r="E46" s="5"/>
      <c r="F46" s="5"/>
      <c r="G46" s="5"/>
      <c r="H46" s="5"/>
    </row>
    <row r="47" spans="1:8" x14ac:dyDescent="0.25">
      <c r="C47" s="5"/>
      <c r="D47" s="5"/>
      <c r="E47" s="5"/>
      <c r="F47" s="5"/>
      <c r="G47" s="5"/>
      <c r="H47" s="5"/>
    </row>
    <row r="48" spans="1:8" x14ac:dyDescent="0.25">
      <c r="C48" s="5"/>
      <c r="D48" s="5"/>
      <c r="E48" s="5"/>
      <c r="F48" s="5"/>
      <c r="G48" s="5"/>
      <c r="H48" s="5"/>
    </row>
    <row r="49" spans="3:8" x14ac:dyDescent="0.25">
      <c r="C49" s="5"/>
      <c r="D49" s="5"/>
      <c r="E49" s="5"/>
      <c r="F49" s="5"/>
      <c r="G49" s="5"/>
      <c r="H49" s="5"/>
    </row>
    <row r="50" spans="3:8" x14ac:dyDescent="0.25">
      <c r="C50" s="5"/>
      <c r="D50" s="5"/>
      <c r="E50" s="5"/>
      <c r="F50" s="5"/>
      <c r="G50" s="5"/>
      <c r="H50" s="5"/>
    </row>
    <row r="51" spans="3:8" x14ac:dyDescent="0.25">
      <c r="C51" s="5"/>
      <c r="D51" s="5"/>
      <c r="E51" s="5"/>
      <c r="F51" s="5"/>
      <c r="G51" s="5"/>
      <c r="H51" s="5"/>
    </row>
    <row r="52" spans="3:8" x14ac:dyDescent="0.25">
      <c r="C52" s="5"/>
      <c r="D52" s="5"/>
      <c r="E52" s="5"/>
      <c r="F52" s="5"/>
      <c r="G52" s="5"/>
      <c r="H52" s="5"/>
    </row>
    <row r="53" spans="3:8" x14ac:dyDescent="0.25">
      <c r="C53" s="5"/>
      <c r="D53" s="5"/>
      <c r="E53" s="5"/>
      <c r="F53" s="5"/>
      <c r="G53" s="5"/>
      <c r="H53" s="5"/>
    </row>
    <row r="54" spans="3:8" x14ac:dyDescent="0.25">
      <c r="C54" s="5"/>
      <c r="D54" s="5"/>
      <c r="E54" s="5"/>
      <c r="F54" s="5"/>
      <c r="G54" s="5"/>
      <c r="H54" s="5"/>
    </row>
    <row r="55" spans="3:8" x14ac:dyDescent="0.25">
      <c r="C55" s="5"/>
      <c r="D55" s="5"/>
      <c r="E55" s="5"/>
      <c r="F55" s="5"/>
      <c r="G55" s="5"/>
      <c r="H55" s="5"/>
    </row>
    <row r="56" spans="3:8" x14ac:dyDescent="0.25">
      <c r="C56" s="5"/>
      <c r="D56" s="5"/>
      <c r="E56" s="5"/>
      <c r="F56" s="5"/>
      <c r="G56" s="5"/>
      <c r="H56" s="5"/>
    </row>
    <row r="57" spans="3:8" x14ac:dyDescent="0.25">
      <c r="C57" s="5"/>
      <c r="D57" s="5"/>
      <c r="E57" s="5"/>
      <c r="F57" s="5"/>
      <c r="G57" s="5"/>
      <c r="H57" s="5"/>
    </row>
    <row r="58" spans="3:8" x14ac:dyDescent="0.25">
      <c r="C58" s="5"/>
      <c r="D58" s="5"/>
      <c r="E58" s="5"/>
      <c r="F58" s="5"/>
      <c r="G58" s="5"/>
      <c r="H58" s="5"/>
    </row>
    <row r="59" spans="3:8" x14ac:dyDescent="0.25">
      <c r="C59" s="5"/>
      <c r="D59" s="5"/>
      <c r="E59" s="5"/>
      <c r="F59" s="5"/>
      <c r="G59" s="5"/>
      <c r="H59" s="5"/>
    </row>
    <row r="60" spans="3:8" x14ac:dyDescent="0.25">
      <c r="C60" s="5"/>
      <c r="D60" s="5"/>
      <c r="E60" s="5"/>
      <c r="F60" s="5"/>
      <c r="G60" s="5"/>
      <c r="H60" s="5"/>
    </row>
    <row r="61" spans="3:8" x14ac:dyDescent="0.25">
      <c r="C61" s="5"/>
      <c r="D61" s="5"/>
      <c r="E61" s="5"/>
      <c r="F61" s="5"/>
      <c r="G61" s="5"/>
      <c r="H61" s="5"/>
    </row>
    <row r="62" spans="3:8" x14ac:dyDescent="0.25">
      <c r="C62" s="5"/>
      <c r="D62" s="5"/>
      <c r="E62" s="5"/>
      <c r="F62" s="5"/>
      <c r="G62" s="5"/>
      <c r="H62" s="5"/>
    </row>
    <row r="63" spans="3:8" x14ac:dyDescent="0.25">
      <c r="C63" s="5"/>
      <c r="D63" s="5"/>
      <c r="E63" s="5"/>
      <c r="F63" s="5"/>
      <c r="G63" s="5"/>
      <c r="H63" s="5"/>
    </row>
    <row r="64" spans="3:8" x14ac:dyDescent="0.25">
      <c r="C64" s="5"/>
      <c r="D64" s="5"/>
      <c r="E64" s="5"/>
      <c r="F64" s="5"/>
      <c r="G64" s="5"/>
      <c r="H64" s="5"/>
    </row>
    <row r="65" spans="3:8" x14ac:dyDescent="0.25">
      <c r="C65" s="5"/>
      <c r="D65" s="5"/>
      <c r="E65" s="5"/>
      <c r="F65" s="5"/>
      <c r="G65" s="5"/>
      <c r="H65" s="5"/>
    </row>
    <row r="66" spans="3:8" x14ac:dyDescent="0.25">
      <c r="C66" s="5"/>
      <c r="D66" s="5"/>
      <c r="E66" s="5"/>
      <c r="F66" s="5"/>
      <c r="G66" s="5"/>
      <c r="H66" s="5"/>
    </row>
    <row r="67" spans="3:8" x14ac:dyDescent="0.25">
      <c r="C67" s="5"/>
      <c r="D67" s="5"/>
      <c r="E67" s="5"/>
      <c r="F67" s="5"/>
      <c r="G67" s="5"/>
      <c r="H67" s="5"/>
    </row>
    <row r="68" spans="3:8" x14ac:dyDescent="0.25">
      <c r="C68" s="5"/>
      <c r="D68" s="5"/>
      <c r="E68" s="5"/>
      <c r="F68" s="5"/>
      <c r="G68" s="5"/>
      <c r="H68" s="5"/>
    </row>
    <row r="69" spans="3:8" x14ac:dyDescent="0.25">
      <c r="C69" s="5"/>
      <c r="D69" s="5"/>
      <c r="E69" s="5"/>
      <c r="F69" s="5"/>
      <c r="G69" s="5"/>
      <c r="H69" s="5"/>
    </row>
    <row r="70" spans="3:8" x14ac:dyDescent="0.25">
      <c r="C70" s="5"/>
      <c r="D70" s="5"/>
      <c r="E70" s="5"/>
      <c r="F70" s="5"/>
      <c r="G70" s="5"/>
      <c r="H70" s="5"/>
    </row>
    <row r="71" spans="3:8" x14ac:dyDescent="0.25">
      <c r="C71" s="5"/>
      <c r="D71" s="5"/>
      <c r="E71" s="5"/>
      <c r="F71" s="5"/>
      <c r="G71" s="5"/>
      <c r="H71" s="5"/>
    </row>
    <row r="72" spans="3:8" x14ac:dyDescent="0.25">
      <c r="C72" s="5"/>
      <c r="D72" s="5"/>
      <c r="E72" s="5"/>
      <c r="F72" s="5"/>
      <c r="G72" s="5"/>
      <c r="H72" s="5"/>
    </row>
    <row r="73" spans="3:8" x14ac:dyDescent="0.25">
      <c r="C73" s="5"/>
      <c r="D73" s="5"/>
      <c r="E73" s="5"/>
      <c r="F73" s="5"/>
      <c r="G73" s="5"/>
      <c r="H73" s="5"/>
    </row>
    <row r="74" spans="3:8" x14ac:dyDescent="0.25">
      <c r="C74" s="5"/>
      <c r="D74" s="5"/>
      <c r="E74" s="5"/>
      <c r="F74" s="5"/>
      <c r="G74" s="5"/>
      <c r="H74" s="5"/>
    </row>
    <row r="75" spans="3:8" x14ac:dyDescent="0.25">
      <c r="C75" s="5"/>
      <c r="D75" s="5"/>
      <c r="E75" s="5"/>
      <c r="F75" s="5"/>
      <c r="G75" s="5"/>
      <c r="H75" s="5"/>
    </row>
    <row r="76" spans="3:8" x14ac:dyDescent="0.25">
      <c r="C76" s="5"/>
      <c r="D76" s="5"/>
      <c r="E76" s="5"/>
      <c r="F76" s="5"/>
      <c r="G76" s="5"/>
      <c r="H76" s="5"/>
    </row>
    <row r="77" spans="3:8" x14ac:dyDescent="0.25">
      <c r="C77" s="5"/>
      <c r="D77" s="5"/>
      <c r="E77" s="5"/>
      <c r="F77" s="5"/>
      <c r="G77" s="5"/>
      <c r="H77" s="5"/>
    </row>
    <row r="78" spans="3:8" x14ac:dyDescent="0.25">
      <c r="C78" s="5"/>
      <c r="D78" s="5"/>
      <c r="E78" s="5"/>
      <c r="F78" s="5"/>
      <c r="G78" s="5"/>
      <c r="H78" s="5"/>
    </row>
    <row r="79" spans="3:8" x14ac:dyDescent="0.25">
      <c r="C79" s="5"/>
      <c r="D79" s="5"/>
      <c r="E79" s="5"/>
      <c r="F79" s="5"/>
      <c r="G79" s="5"/>
      <c r="H79" s="5"/>
    </row>
    <row r="80" spans="3:8" x14ac:dyDescent="0.25">
      <c r="C80" s="5"/>
      <c r="D80" s="5"/>
      <c r="E80" s="5"/>
      <c r="F80" s="5"/>
      <c r="G80" s="5"/>
      <c r="H80" s="5"/>
    </row>
    <row r="81" spans="3:8" x14ac:dyDescent="0.25">
      <c r="C81" s="5"/>
      <c r="D81" s="5"/>
      <c r="E81" s="5"/>
      <c r="F81" s="5"/>
      <c r="G81" s="5"/>
      <c r="H81" s="5"/>
    </row>
    <row r="82" spans="3:8" x14ac:dyDescent="0.25">
      <c r="C82" s="5"/>
      <c r="D82" s="5"/>
      <c r="E82" s="5"/>
      <c r="F82" s="5"/>
      <c r="G82" s="5"/>
      <c r="H82" s="5"/>
    </row>
    <row r="83" spans="3:8" x14ac:dyDescent="0.25">
      <c r="C83" s="5"/>
      <c r="D83" s="5"/>
      <c r="E83" s="5"/>
      <c r="F83" s="5"/>
      <c r="G83" s="5"/>
      <c r="H83" s="5"/>
    </row>
    <row r="84" spans="3:8" x14ac:dyDescent="0.25">
      <c r="C84" s="5"/>
      <c r="D84" s="5"/>
      <c r="E84" s="5"/>
      <c r="F84" s="5"/>
      <c r="G84" s="5"/>
      <c r="H84" s="5"/>
    </row>
    <row r="85" spans="3:8" x14ac:dyDescent="0.25">
      <c r="C85" s="5"/>
      <c r="D85" s="5"/>
      <c r="E85" s="5"/>
      <c r="F85" s="5"/>
      <c r="G85" s="5"/>
      <c r="H85" s="5"/>
    </row>
    <row r="86" spans="3:8" x14ac:dyDescent="0.25">
      <c r="C86" s="5"/>
      <c r="D86" s="5"/>
      <c r="E86" s="5"/>
      <c r="F86" s="5"/>
      <c r="G86" s="5"/>
      <c r="H86" s="5"/>
    </row>
    <row r="87" spans="3:8" x14ac:dyDescent="0.25">
      <c r="C87" s="5"/>
      <c r="D87" s="5"/>
      <c r="E87" s="5"/>
      <c r="F87" s="5"/>
      <c r="G87" s="5"/>
      <c r="H87" s="5"/>
    </row>
    <row r="88" spans="3:8" x14ac:dyDescent="0.25">
      <c r="C88" s="5"/>
      <c r="D88" s="5"/>
      <c r="E88" s="5"/>
      <c r="F88" s="5"/>
      <c r="G88" s="5"/>
      <c r="H88" s="5"/>
    </row>
    <row r="89" spans="3:8" x14ac:dyDescent="0.25">
      <c r="C89" s="5"/>
      <c r="D89" s="5"/>
      <c r="E89" s="5"/>
      <c r="F89" s="5"/>
      <c r="G89" s="5"/>
      <c r="H89" s="5"/>
    </row>
    <row r="90" spans="3:8" x14ac:dyDescent="0.25">
      <c r="C90" s="5"/>
      <c r="D90" s="5"/>
      <c r="E90" s="5"/>
      <c r="F90" s="5"/>
      <c r="G90" s="5"/>
      <c r="H90" s="5"/>
    </row>
    <row r="91" spans="3:8" x14ac:dyDescent="0.25">
      <c r="C91" s="5"/>
      <c r="D91" s="5"/>
      <c r="E91" s="5"/>
      <c r="F91" s="5"/>
      <c r="G91" s="5"/>
      <c r="H91" s="5"/>
    </row>
    <row r="92" spans="3:8" x14ac:dyDescent="0.25">
      <c r="C92" s="5"/>
      <c r="D92" s="5"/>
      <c r="E92" s="5"/>
      <c r="F92" s="5"/>
      <c r="G92" s="5"/>
      <c r="H92" s="5"/>
    </row>
    <row r="93" spans="3:8" x14ac:dyDescent="0.25">
      <c r="C93" s="5"/>
      <c r="D93" s="5"/>
      <c r="E93" s="5"/>
      <c r="F93" s="5"/>
      <c r="G93" s="5"/>
      <c r="H93" s="5"/>
    </row>
    <row r="94" spans="3:8" x14ac:dyDescent="0.25">
      <c r="C94" s="5"/>
      <c r="D94" s="5"/>
      <c r="E94" s="5"/>
      <c r="F94" s="5"/>
      <c r="G94" s="5"/>
      <c r="H94" s="5"/>
    </row>
    <row r="95" spans="3:8" x14ac:dyDescent="0.25">
      <c r="C95" s="5"/>
      <c r="D95" s="5"/>
      <c r="E95" s="5"/>
      <c r="F95" s="5"/>
      <c r="G95" s="5"/>
      <c r="H95" s="5"/>
    </row>
    <row r="96" spans="3:8" x14ac:dyDescent="0.25">
      <c r="C96" s="5"/>
      <c r="D96" s="5"/>
      <c r="E96" s="5"/>
      <c r="F96" s="5"/>
      <c r="G96" s="5"/>
      <c r="H96" s="5"/>
    </row>
    <row r="97" spans="3:8" x14ac:dyDescent="0.25">
      <c r="C97" s="5"/>
      <c r="D97" s="5"/>
      <c r="E97" s="5"/>
      <c r="F97" s="5"/>
      <c r="G97" s="5"/>
      <c r="H97" s="5"/>
    </row>
    <row r="98" spans="3:8" x14ac:dyDescent="0.25">
      <c r="C98" s="5"/>
      <c r="D98" s="5"/>
      <c r="E98" s="5"/>
      <c r="F98" s="5"/>
      <c r="G98" s="5"/>
      <c r="H98" s="5"/>
    </row>
    <row r="99" spans="3:8" x14ac:dyDescent="0.25">
      <c r="C99" s="5"/>
      <c r="D99" s="5"/>
      <c r="E99" s="5"/>
      <c r="F99" s="5"/>
      <c r="G99" s="5"/>
      <c r="H99" s="5"/>
    </row>
    <row r="100" spans="3:8" x14ac:dyDescent="0.25">
      <c r="C100" s="5"/>
      <c r="D100" s="5"/>
      <c r="E100" s="5"/>
      <c r="F100" s="5"/>
      <c r="G100" s="5"/>
      <c r="H100" s="5"/>
    </row>
    <row r="101" spans="3:8" x14ac:dyDescent="0.25">
      <c r="C101" s="5"/>
      <c r="D101" s="5"/>
      <c r="E101" s="5"/>
      <c r="F101" s="5"/>
      <c r="G101" s="5"/>
      <c r="H101" s="5"/>
    </row>
    <row r="102" spans="3:8" x14ac:dyDescent="0.25">
      <c r="C102" s="5"/>
      <c r="D102" s="5"/>
      <c r="E102" s="5"/>
      <c r="F102" s="5"/>
      <c r="G102" s="5"/>
      <c r="H102" s="5"/>
    </row>
    <row r="103" spans="3:8" x14ac:dyDescent="0.25">
      <c r="C103" s="5"/>
      <c r="D103" s="5"/>
      <c r="E103" s="5"/>
      <c r="F103" s="5"/>
      <c r="G103" s="5"/>
      <c r="H103" s="5"/>
    </row>
    <row r="104" spans="3:8" x14ac:dyDescent="0.25">
      <c r="C104" s="5"/>
      <c r="D104" s="5"/>
      <c r="E104" s="5"/>
      <c r="F104" s="5"/>
      <c r="G104" s="5"/>
      <c r="H104" s="5"/>
    </row>
    <row r="105" spans="3:8" x14ac:dyDescent="0.25">
      <c r="C105" s="5"/>
      <c r="D105" s="5"/>
      <c r="E105" s="5"/>
      <c r="F105" s="5"/>
      <c r="G105" s="5"/>
      <c r="H105" s="5"/>
    </row>
    <row r="106" spans="3:8" x14ac:dyDescent="0.25">
      <c r="C106" s="5"/>
      <c r="D106" s="5"/>
      <c r="E106" s="5"/>
      <c r="F106" s="5"/>
      <c r="G106" s="5"/>
      <c r="H106" s="5"/>
    </row>
    <row r="107" spans="3:8" x14ac:dyDescent="0.25">
      <c r="C107" s="5"/>
      <c r="D107" s="5"/>
      <c r="E107" s="5"/>
      <c r="F107" s="5"/>
      <c r="G107" s="5"/>
      <c r="H107" s="5"/>
    </row>
    <row r="108" spans="3:8" x14ac:dyDescent="0.25">
      <c r="C108" s="5"/>
      <c r="D108" s="5"/>
      <c r="E108" s="5"/>
      <c r="F108" s="5"/>
      <c r="G108" s="5"/>
      <c r="H108" s="5"/>
    </row>
    <row r="109" spans="3:8" x14ac:dyDescent="0.25">
      <c r="C109" s="5"/>
      <c r="D109" s="5"/>
      <c r="E109" s="5"/>
      <c r="F109" s="5"/>
      <c r="G109" s="5"/>
      <c r="H109" s="5"/>
    </row>
    <row r="110" spans="3:8" x14ac:dyDescent="0.25">
      <c r="C110" s="5"/>
      <c r="D110" s="5"/>
      <c r="E110" s="5"/>
      <c r="F110" s="5"/>
      <c r="G110" s="5"/>
      <c r="H110" s="5"/>
    </row>
    <row r="111" spans="3:8" x14ac:dyDescent="0.25">
      <c r="C111" s="5"/>
      <c r="D111" s="5"/>
      <c r="E111" s="5"/>
      <c r="F111" s="5"/>
      <c r="G111" s="5"/>
      <c r="H111" s="5"/>
    </row>
    <row r="112" spans="3:8" x14ac:dyDescent="0.25">
      <c r="C112" s="5"/>
      <c r="D112" s="5"/>
      <c r="E112" s="5"/>
      <c r="F112" s="5"/>
      <c r="G112" s="5"/>
      <c r="H112" s="5"/>
    </row>
    <row r="113" spans="3:8" x14ac:dyDescent="0.25">
      <c r="C113" s="5"/>
      <c r="D113" s="5"/>
      <c r="E113" s="5"/>
      <c r="F113" s="5"/>
      <c r="G113" s="5"/>
      <c r="H113" s="5"/>
    </row>
    <row r="114" spans="3:8" x14ac:dyDescent="0.25">
      <c r="C114" s="5"/>
      <c r="D114" s="5"/>
      <c r="E114" s="5"/>
      <c r="F114" s="5"/>
      <c r="G114" s="5"/>
      <c r="H114" s="5"/>
    </row>
    <row r="115" spans="3:8" x14ac:dyDescent="0.25">
      <c r="C115" s="5"/>
      <c r="D115" s="5"/>
      <c r="E115" s="5"/>
      <c r="F115" s="5"/>
      <c r="G115" s="5"/>
      <c r="H115" s="5"/>
    </row>
    <row r="116" spans="3:8" x14ac:dyDescent="0.25">
      <c r="C116" s="5"/>
      <c r="D116" s="5"/>
      <c r="E116" s="5"/>
      <c r="F116" s="5"/>
      <c r="G116" s="5"/>
      <c r="H116" s="5"/>
    </row>
    <row r="117" spans="3:8" x14ac:dyDescent="0.25">
      <c r="C117" s="5"/>
      <c r="D117" s="5"/>
      <c r="E117" s="5"/>
      <c r="F117" s="5"/>
      <c r="G117" s="5"/>
      <c r="H117" s="5"/>
    </row>
    <row r="118" spans="3:8" x14ac:dyDescent="0.25">
      <c r="C118" s="5"/>
      <c r="D118" s="5"/>
      <c r="E118" s="5"/>
      <c r="F118" s="5"/>
      <c r="G118" s="5"/>
      <c r="H118" s="5"/>
    </row>
    <row r="119" spans="3:8" x14ac:dyDescent="0.25">
      <c r="C119" s="5"/>
      <c r="D119" s="5"/>
      <c r="E119" s="5"/>
      <c r="F119" s="5"/>
      <c r="G119" s="5"/>
      <c r="H119" s="5"/>
    </row>
    <row r="120" spans="3:8" x14ac:dyDescent="0.25">
      <c r="C120" s="5"/>
      <c r="D120" s="5"/>
      <c r="E120" s="5"/>
      <c r="F120" s="5"/>
      <c r="G120" s="5"/>
      <c r="H120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H28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17.375" bestFit="1" customWidth="1"/>
    <col min="3" max="3" width="12.125" bestFit="1" customWidth="1"/>
    <col min="4" max="8" width="8.5" bestFit="1" customWidth="1"/>
  </cols>
  <sheetData>
    <row r="3" spans="1:8" x14ac:dyDescent="0.25">
      <c r="B3" s="8" t="s">
        <v>69</v>
      </c>
    </row>
    <row r="4" spans="1:8" x14ac:dyDescent="0.25">
      <c r="A4" s="15"/>
      <c r="B4" s="16"/>
      <c r="C4" s="17" t="s">
        <v>59</v>
      </c>
      <c r="D4" s="17" t="s">
        <v>4</v>
      </c>
      <c r="E4" s="17" t="s">
        <v>5</v>
      </c>
      <c r="F4" s="17" t="s">
        <v>6</v>
      </c>
      <c r="G4" s="17" t="s">
        <v>7</v>
      </c>
      <c r="H4" s="17">
        <v>2021</v>
      </c>
    </row>
    <row r="5" spans="1:8" x14ac:dyDescent="0.25">
      <c r="A5" s="15"/>
      <c r="B5" s="16"/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  <c r="H5" s="18" t="s">
        <v>9</v>
      </c>
    </row>
    <row r="7" spans="1:8" x14ac:dyDescent="0.25">
      <c r="A7">
        <v>1</v>
      </c>
      <c r="B7" t="s">
        <v>79</v>
      </c>
      <c r="C7" s="5">
        <v>22</v>
      </c>
      <c r="D7" s="5">
        <f>C7+D16-D25</f>
        <v>193</v>
      </c>
      <c r="E7" s="5">
        <f>D7+E16-E25</f>
        <v>498.4</v>
      </c>
      <c r="F7" s="5">
        <f>E7+F16-F25</f>
        <v>598.07999999999993</v>
      </c>
      <c r="G7" s="5">
        <f>F7+G16-G25</f>
        <v>536.06992800000012</v>
      </c>
      <c r="H7" s="6">
        <f>G7</f>
        <v>536.06992800000012</v>
      </c>
    </row>
    <row r="8" spans="1:8" x14ac:dyDescent="0.25">
      <c r="A8">
        <v>2</v>
      </c>
      <c r="B8" t="s">
        <v>80</v>
      </c>
      <c r="C8" s="5">
        <v>0</v>
      </c>
      <c r="D8" s="5">
        <f>C8+D17-D26</f>
        <v>22</v>
      </c>
      <c r="E8" s="5">
        <f>D8+E17-E26</f>
        <v>22</v>
      </c>
      <c r="F8" s="5">
        <f t="shared" ref="F8:G9" si="0">E8+F17-F26</f>
        <v>22</v>
      </c>
      <c r="G8" s="5">
        <f t="shared" si="0"/>
        <v>22</v>
      </c>
      <c r="H8" s="6">
        <f>G8</f>
        <v>22</v>
      </c>
    </row>
    <row r="9" spans="1:8" x14ac:dyDescent="0.25">
      <c r="A9">
        <v>3</v>
      </c>
      <c r="B9" t="s">
        <v>81</v>
      </c>
      <c r="C9" s="5">
        <v>0</v>
      </c>
      <c r="D9" s="5">
        <f>C9+D18-D27</f>
        <v>0</v>
      </c>
      <c r="E9" s="5">
        <f>D9+E18-E27</f>
        <v>0</v>
      </c>
      <c r="F9" s="5">
        <f t="shared" si="0"/>
        <v>0</v>
      </c>
      <c r="G9" s="5">
        <f t="shared" si="0"/>
        <v>0</v>
      </c>
      <c r="H9" s="6">
        <f>G9</f>
        <v>0</v>
      </c>
    </row>
    <row r="10" spans="1:8" x14ac:dyDescent="0.25">
      <c r="A10" s="12"/>
      <c r="B10" s="12"/>
      <c r="C10" s="11">
        <f>SUM(C7:C9)</f>
        <v>22</v>
      </c>
      <c r="D10" s="11">
        <f t="shared" ref="D10:G10" si="1">SUM(D7:D9)</f>
        <v>215</v>
      </c>
      <c r="E10" s="11">
        <f t="shared" si="1"/>
        <v>520.4</v>
      </c>
      <c r="F10" s="11">
        <f t="shared" si="1"/>
        <v>620.07999999999993</v>
      </c>
      <c r="G10" s="11">
        <f t="shared" si="1"/>
        <v>558.06992800000012</v>
      </c>
      <c r="H10" s="11">
        <f>SUM(H7:H9)</f>
        <v>558.06992800000012</v>
      </c>
    </row>
    <row r="11" spans="1:8" x14ac:dyDescent="0.25">
      <c r="C11" s="5"/>
      <c r="D11" s="5"/>
      <c r="E11" s="5"/>
      <c r="F11" s="5"/>
      <c r="G11" s="5"/>
      <c r="H11" s="5"/>
    </row>
    <row r="12" spans="1:8" x14ac:dyDescent="0.25">
      <c r="B12" s="8" t="s">
        <v>70</v>
      </c>
      <c r="C12" s="5"/>
      <c r="D12" s="5"/>
      <c r="E12" s="5"/>
      <c r="F12" s="5"/>
      <c r="G12" s="5"/>
      <c r="H12" s="5"/>
    </row>
    <row r="13" spans="1:8" x14ac:dyDescent="0.25">
      <c r="A13" s="15"/>
      <c r="B13" s="16"/>
      <c r="C13" s="17"/>
      <c r="D13" s="17" t="s">
        <v>4</v>
      </c>
      <c r="E13" s="17" t="s">
        <v>5</v>
      </c>
      <c r="F13" s="17" t="s">
        <v>6</v>
      </c>
      <c r="G13" s="17" t="s">
        <v>7</v>
      </c>
      <c r="H13" s="17">
        <v>2021</v>
      </c>
    </row>
    <row r="14" spans="1:8" x14ac:dyDescent="0.25">
      <c r="A14" s="15"/>
      <c r="B14" s="16"/>
      <c r="C14" s="18"/>
      <c r="D14" s="18" t="s">
        <v>9</v>
      </c>
      <c r="E14" s="18" t="s">
        <v>9</v>
      </c>
      <c r="F14" s="18" t="s">
        <v>9</v>
      </c>
      <c r="G14" s="18" t="s">
        <v>9</v>
      </c>
      <c r="H14" s="18" t="s">
        <v>9</v>
      </c>
    </row>
    <row r="16" spans="1:8" x14ac:dyDescent="0.25">
      <c r="A16">
        <v>1</v>
      </c>
      <c r="B16" t="s">
        <v>79</v>
      </c>
      <c r="C16" s="5"/>
      <c r="D16" s="5">
        <v>395</v>
      </c>
      <c r="E16" s="5">
        <f>FA!E22*1.2+Inventory!E17+1.2+Inventory!E20*1.2+Expenses!D15*1.2</f>
        <v>747.59999999999991</v>
      </c>
      <c r="F16" s="5">
        <f>FA!F22*1.2+Inventory!F17+1.2+Inventory!F20*1.2+Expenses!E15*1.2</f>
        <v>897.12000000000012</v>
      </c>
      <c r="G16" s="5">
        <f>FA!G22*1.2+Inventory!G17+1.2+Inventory!G20*1.2+Expenses!F15*1.2</f>
        <v>804.10489200000006</v>
      </c>
      <c r="H16" s="6">
        <f>SUM(D16:G16)</f>
        <v>2843.8248920000001</v>
      </c>
    </row>
    <row r="17" spans="1:8" x14ac:dyDescent="0.25">
      <c r="A17">
        <v>2</v>
      </c>
      <c r="B17" t="s">
        <v>80</v>
      </c>
      <c r="C17" s="5"/>
      <c r="D17" s="5">
        <v>22</v>
      </c>
      <c r="E17" s="5"/>
      <c r="F17" s="5"/>
      <c r="G17" s="5"/>
      <c r="H17" s="6">
        <f>SUM(D17:G17)</f>
        <v>22</v>
      </c>
    </row>
    <row r="18" spans="1:8" x14ac:dyDescent="0.25">
      <c r="A18">
        <v>3</v>
      </c>
      <c r="B18" t="s">
        <v>81</v>
      </c>
      <c r="C18" s="5"/>
      <c r="D18" s="5">
        <v>0</v>
      </c>
      <c r="E18" s="5"/>
      <c r="F18" s="5"/>
      <c r="G18" s="5"/>
      <c r="H18" s="6">
        <f>SUM(D18:G18)</f>
        <v>0</v>
      </c>
    </row>
    <row r="19" spans="1:8" x14ac:dyDescent="0.25">
      <c r="A19" s="12"/>
      <c r="B19" s="12"/>
      <c r="C19" s="11">
        <f>SUM(C16:C18)</f>
        <v>0</v>
      </c>
      <c r="D19" s="11">
        <f t="shared" ref="D19:G19" si="2">SUM(D16:D18)</f>
        <v>417</v>
      </c>
      <c r="E19" s="11">
        <f t="shared" si="2"/>
        <v>747.59999999999991</v>
      </c>
      <c r="F19" s="11">
        <f t="shared" si="2"/>
        <v>897.12000000000012</v>
      </c>
      <c r="G19" s="11">
        <f t="shared" si="2"/>
        <v>804.10489200000006</v>
      </c>
      <c r="H19" s="10"/>
    </row>
    <row r="21" spans="1:8" x14ac:dyDescent="0.25">
      <c r="B21" s="8" t="s">
        <v>71</v>
      </c>
    </row>
    <row r="22" spans="1:8" x14ac:dyDescent="0.25">
      <c r="A22" s="15"/>
      <c r="B22" s="16"/>
      <c r="C22" s="17"/>
      <c r="D22" s="17" t="s">
        <v>4</v>
      </c>
      <c r="E22" s="17" t="s">
        <v>5</v>
      </c>
      <c r="F22" s="17" t="s">
        <v>6</v>
      </c>
      <c r="G22" s="17" t="s">
        <v>7</v>
      </c>
      <c r="H22" s="17">
        <v>2021</v>
      </c>
    </row>
    <row r="23" spans="1:8" x14ac:dyDescent="0.25">
      <c r="A23" s="15"/>
      <c r="B23" s="16"/>
      <c r="C23" s="18"/>
      <c r="D23" s="18" t="s">
        <v>9</v>
      </c>
      <c r="E23" s="18" t="s">
        <v>9</v>
      </c>
      <c r="F23" s="18" t="s">
        <v>9</v>
      </c>
      <c r="G23" s="18" t="s">
        <v>9</v>
      </c>
      <c r="H23" s="18" t="s">
        <v>9</v>
      </c>
    </row>
    <row r="25" spans="1:8" x14ac:dyDescent="0.25">
      <c r="A25">
        <v>1</v>
      </c>
      <c r="B25" t="s">
        <v>79</v>
      </c>
      <c r="C25" s="5"/>
      <c r="D25" s="5">
        <v>224</v>
      </c>
      <c r="E25" s="5">
        <f>D7+E16/3</f>
        <v>442.19999999999993</v>
      </c>
      <c r="F25" s="5">
        <f>E7+F16/3</f>
        <v>797.44</v>
      </c>
      <c r="G25" s="5">
        <f>F7+G16/3</f>
        <v>866.11496399999987</v>
      </c>
      <c r="H25" s="6">
        <f>SUM(D25:G25)</f>
        <v>2329.7549639999997</v>
      </c>
    </row>
    <row r="26" spans="1:8" x14ac:dyDescent="0.25">
      <c r="A26">
        <v>2</v>
      </c>
      <c r="B26" t="s">
        <v>80</v>
      </c>
      <c r="C26" s="5"/>
      <c r="D26" s="5">
        <v>0</v>
      </c>
      <c r="E26" s="5"/>
      <c r="F26" s="5"/>
      <c r="G26" s="5"/>
      <c r="H26" s="5"/>
    </row>
    <row r="27" spans="1:8" x14ac:dyDescent="0.25">
      <c r="A27">
        <v>3</v>
      </c>
      <c r="B27" t="s">
        <v>81</v>
      </c>
      <c r="C27" s="5"/>
      <c r="D27" s="5">
        <v>0</v>
      </c>
      <c r="E27" s="5"/>
      <c r="F27" s="5"/>
      <c r="G27" s="5"/>
      <c r="H27" s="5"/>
    </row>
    <row r="28" spans="1:8" x14ac:dyDescent="0.25">
      <c r="A28" s="12"/>
      <c r="B28" s="12"/>
      <c r="C28" s="11">
        <f>SUM(C25:C27)</f>
        <v>0</v>
      </c>
      <c r="D28" s="11">
        <f t="shared" ref="D28:G28" si="3">SUM(D25:D27)</f>
        <v>224</v>
      </c>
      <c r="E28" s="11">
        <f t="shared" si="3"/>
        <v>442.19999999999993</v>
      </c>
      <c r="F28" s="11">
        <f t="shared" si="3"/>
        <v>797.44</v>
      </c>
      <c r="G28" s="11">
        <f t="shared" si="3"/>
        <v>866.11496399999987</v>
      </c>
      <c r="H28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H25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21.5" bestFit="1" customWidth="1"/>
    <col min="3" max="3" width="12.125" bestFit="1" customWidth="1"/>
    <col min="4" max="8" width="8.5" bestFit="1" customWidth="1"/>
  </cols>
  <sheetData>
    <row r="3" spans="1:8" x14ac:dyDescent="0.25">
      <c r="B3" s="8" t="s">
        <v>69</v>
      </c>
    </row>
    <row r="4" spans="1:8" x14ac:dyDescent="0.25">
      <c r="A4" s="15"/>
      <c r="B4" s="16"/>
      <c r="C4" s="17" t="s">
        <v>59</v>
      </c>
      <c r="D4" s="17" t="s">
        <v>4</v>
      </c>
      <c r="E4" s="17" t="s">
        <v>5</v>
      </c>
      <c r="F4" s="17" t="s">
        <v>6</v>
      </c>
      <c r="G4" s="17" t="s">
        <v>7</v>
      </c>
      <c r="H4" s="17">
        <v>2021</v>
      </c>
    </row>
    <row r="5" spans="1:8" x14ac:dyDescent="0.25">
      <c r="A5" s="15"/>
      <c r="B5" s="16"/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  <c r="H5" s="18" t="s">
        <v>9</v>
      </c>
    </row>
    <row r="7" spans="1:8" x14ac:dyDescent="0.25">
      <c r="A7">
        <v>1</v>
      </c>
      <c r="B7" t="s">
        <v>134</v>
      </c>
      <c r="C7" s="5">
        <v>11</v>
      </c>
      <c r="D7" s="5">
        <f t="shared" ref="D7:G8" si="0">C7+D15-D23</f>
        <v>11</v>
      </c>
      <c r="E7" s="5">
        <f t="shared" si="0"/>
        <v>18</v>
      </c>
      <c r="F7" s="5">
        <f t="shared" si="0"/>
        <v>18</v>
      </c>
      <c r="G7" s="5">
        <f t="shared" si="0"/>
        <v>18</v>
      </c>
      <c r="H7" s="6">
        <f>G7</f>
        <v>18</v>
      </c>
    </row>
    <row r="8" spans="1:8" x14ac:dyDescent="0.25">
      <c r="A8">
        <v>2</v>
      </c>
      <c r="B8" t="s">
        <v>135</v>
      </c>
      <c r="C8" s="5"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6">
        <f>G8</f>
        <v>0</v>
      </c>
    </row>
    <row r="9" spans="1:8" x14ac:dyDescent="0.25">
      <c r="A9" s="12"/>
      <c r="B9" s="12"/>
      <c r="C9" s="11">
        <f>SUM(C7:C8)</f>
        <v>11</v>
      </c>
      <c r="D9" s="11">
        <f>SUM(D7:D8)</f>
        <v>11</v>
      </c>
      <c r="E9" s="11">
        <f>SUM(E7:E8)</f>
        <v>18</v>
      </c>
      <c r="F9" s="11">
        <f>SUM(F7:F8)</f>
        <v>18</v>
      </c>
      <c r="G9" s="11">
        <f>SUM(G7:G8)</f>
        <v>18</v>
      </c>
      <c r="H9" s="10"/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B11" s="8" t="s">
        <v>70</v>
      </c>
      <c r="C11" s="5"/>
      <c r="D11" s="5"/>
      <c r="E11" s="5"/>
      <c r="F11" s="5"/>
      <c r="G11" s="5"/>
      <c r="H11" s="5"/>
    </row>
    <row r="12" spans="1:8" x14ac:dyDescent="0.25">
      <c r="A12" s="15"/>
      <c r="B12" s="16"/>
      <c r="C12" s="17"/>
      <c r="D12" s="17" t="s">
        <v>4</v>
      </c>
      <c r="E12" s="17" t="s">
        <v>5</v>
      </c>
      <c r="F12" s="17" t="s">
        <v>6</v>
      </c>
      <c r="G12" s="17" t="s">
        <v>7</v>
      </c>
      <c r="H12" s="17">
        <v>2021</v>
      </c>
    </row>
    <row r="13" spans="1:8" x14ac:dyDescent="0.25">
      <c r="A13" s="15"/>
      <c r="B13" s="16"/>
      <c r="C13" s="18"/>
      <c r="D13" s="18" t="s">
        <v>9</v>
      </c>
      <c r="E13" s="18" t="s">
        <v>9</v>
      </c>
      <c r="F13" s="18" t="s">
        <v>9</v>
      </c>
      <c r="G13" s="18" t="s">
        <v>9</v>
      </c>
      <c r="H13" s="18" t="s">
        <v>9</v>
      </c>
    </row>
    <row r="15" spans="1:8" x14ac:dyDescent="0.25">
      <c r="A15">
        <v>1</v>
      </c>
      <c r="B15" t="s">
        <v>134</v>
      </c>
      <c r="C15" s="5"/>
      <c r="D15" s="5">
        <v>37</v>
      </c>
      <c r="E15" s="5">
        <f>Expenses!D23</f>
        <v>54</v>
      </c>
      <c r="F15" s="5">
        <f>Expenses!E23</f>
        <v>54</v>
      </c>
      <c r="G15" s="5">
        <f>Expenses!F23</f>
        <v>54</v>
      </c>
      <c r="H15" s="6">
        <f>SUM(D15:G15)</f>
        <v>199</v>
      </c>
    </row>
    <row r="16" spans="1:8" x14ac:dyDescent="0.25">
      <c r="A16">
        <v>2</v>
      </c>
      <c r="B16" t="s">
        <v>135</v>
      </c>
      <c r="C16" s="5"/>
      <c r="D16" s="5">
        <v>0</v>
      </c>
      <c r="E16" s="5"/>
      <c r="F16" s="5"/>
      <c r="G16" s="5"/>
      <c r="H16" s="6">
        <f>SUM(D16:G16)</f>
        <v>0</v>
      </c>
    </row>
    <row r="17" spans="1:8" x14ac:dyDescent="0.25">
      <c r="A17" s="12"/>
      <c r="B17" s="12"/>
      <c r="C17" s="11">
        <f>SUM(C15:C16)</f>
        <v>0</v>
      </c>
      <c r="D17" s="11">
        <f>SUM(D15:D16)</f>
        <v>37</v>
      </c>
      <c r="E17" s="11">
        <f>SUM(E15:E16)</f>
        <v>54</v>
      </c>
      <c r="F17" s="11">
        <f>SUM(F15:F16)</f>
        <v>54</v>
      </c>
      <c r="G17" s="11">
        <f>SUM(G15:G16)</f>
        <v>54</v>
      </c>
      <c r="H17" s="10"/>
    </row>
    <row r="19" spans="1:8" x14ac:dyDescent="0.25">
      <c r="B19" s="8" t="s">
        <v>71</v>
      </c>
    </row>
    <row r="20" spans="1:8" x14ac:dyDescent="0.25">
      <c r="A20" s="15"/>
      <c r="B20" s="16"/>
      <c r="C20" s="17"/>
      <c r="D20" s="17" t="s">
        <v>4</v>
      </c>
      <c r="E20" s="17" t="s">
        <v>5</v>
      </c>
      <c r="F20" s="17" t="s">
        <v>6</v>
      </c>
      <c r="G20" s="17" t="s">
        <v>7</v>
      </c>
      <c r="H20" s="17">
        <v>2021</v>
      </c>
    </row>
    <row r="21" spans="1:8" x14ac:dyDescent="0.25">
      <c r="A21" s="15"/>
      <c r="B21" s="16"/>
      <c r="C21" s="18"/>
      <c r="D21" s="18" t="s">
        <v>9</v>
      </c>
      <c r="E21" s="18" t="s">
        <v>9</v>
      </c>
      <c r="F21" s="18" t="s">
        <v>9</v>
      </c>
      <c r="G21" s="18" t="s">
        <v>9</v>
      </c>
      <c r="H21" s="18" t="s">
        <v>9</v>
      </c>
    </row>
    <row r="23" spans="1:8" x14ac:dyDescent="0.25">
      <c r="A23">
        <v>1</v>
      </c>
      <c r="B23" t="s">
        <v>134</v>
      </c>
      <c r="C23" s="5"/>
      <c r="D23" s="5">
        <v>37</v>
      </c>
      <c r="E23" s="5">
        <f>D7+E15/3*2</f>
        <v>47</v>
      </c>
      <c r="F23" s="5">
        <f>E7+F15/3*2</f>
        <v>54</v>
      </c>
      <c r="G23" s="5">
        <f>F7+G15/3*2</f>
        <v>54</v>
      </c>
      <c r="H23" s="6">
        <f>SUM(D23:G23)</f>
        <v>192</v>
      </c>
    </row>
    <row r="24" spans="1:8" x14ac:dyDescent="0.25">
      <c r="A24">
        <v>2</v>
      </c>
      <c r="B24" t="s">
        <v>135</v>
      </c>
      <c r="C24" s="5"/>
      <c r="D24" s="5">
        <v>0</v>
      </c>
      <c r="E24" s="5"/>
      <c r="F24" s="5"/>
      <c r="G24" s="5"/>
      <c r="H24" s="5"/>
    </row>
    <row r="25" spans="1:8" x14ac:dyDescent="0.25">
      <c r="A25" s="12"/>
      <c r="B25" s="12"/>
      <c r="C25" s="11">
        <f>SUM(C23:C24)</f>
        <v>0</v>
      </c>
      <c r="D25" s="11">
        <f>SUM(D23:D24)</f>
        <v>37</v>
      </c>
      <c r="E25" s="11">
        <f>SUM(E23:E24)</f>
        <v>47</v>
      </c>
      <c r="F25" s="11">
        <f>SUM(F23:F24)</f>
        <v>54</v>
      </c>
      <c r="G25" s="11">
        <f>SUM(G23:G24)</f>
        <v>54</v>
      </c>
      <c r="H25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3"/>
  <sheetViews>
    <sheetView workbookViewId="0">
      <selection activeCell="P19" sqref="P19"/>
    </sheetView>
  </sheetViews>
  <sheetFormatPr defaultColWidth="11" defaultRowHeight="15.75" x14ac:dyDescent="0.25"/>
  <cols>
    <col min="1" max="1" width="2.125" bestFit="1" customWidth="1"/>
    <col min="2" max="2" width="23" bestFit="1" customWidth="1"/>
    <col min="3" max="3" width="8.5" bestFit="1" customWidth="1"/>
    <col min="4" max="4" width="6.5" bestFit="1" customWidth="1"/>
    <col min="5" max="5" width="8.5" bestFit="1" customWidth="1"/>
    <col min="6" max="6" width="10.5" bestFit="1" customWidth="1"/>
    <col min="7" max="7" width="12.125" bestFit="1" customWidth="1"/>
    <col min="8" max="12" width="8.5" bestFit="1" customWidth="1"/>
    <col min="13" max="13" width="2.5" customWidth="1"/>
    <col min="14" max="17" width="8.5" bestFit="1" customWidth="1"/>
  </cols>
  <sheetData>
    <row r="2" spans="1:17" x14ac:dyDescent="0.25">
      <c r="A2" s="16"/>
      <c r="B2" s="16"/>
      <c r="C2" s="17" t="s">
        <v>25</v>
      </c>
      <c r="D2" s="17" t="s">
        <v>26</v>
      </c>
      <c r="E2" s="17" t="s">
        <v>29</v>
      </c>
      <c r="F2" s="17" t="s">
        <v>27</v>
      </c>
      <c r="G2" s="17" t="s">
        <v>58</v>
      </c>
      <c r="H2" s="17" t="s">
        <v>4</v>
      </c>
      <c r="I2" s="17" t="s">
        <v>5</v>
      </c>
      <c r="J2" s="17" t="s">
        <v>6</v>
      </c>
      <c r="K2" s="17" t="s">
        <v>7</v>
      </c>
      <c r="L2" s="17">
        <v>2021</v>
      </c>
      <c r="N2" s="17" t="s">
        <v>5</v>
      </c>
      <c r="O2" s="17" t="s">
        <v>6</v>
      </c>
      <c r="P2" s="17" t="s">
        <v>7</v>
      </c>
      <c r="Q2" s="17">
        <v>2021</v>
      </c>
    </row>
    <row r="3" spans="1:17" x14ac:dyDescent="0.25">
      <c r="A3" s="16"/>
      <c r="B3" s="16"/>
      <c r="C3" s="18" t="s">
        <v>9</v>
      </c>
      <c r="D3" s="16"/>
      <c r="E3" s="18" t="s">
        <v>9</v>
      </c>
      <c r="F3" s="18" t="s">
        <v>9</v>
      </c>
      <c r="G3" s="18" t="s">
        <v>9</v>
      </c>
      <c r="H3" s="18" t="s">
        <v>9</v>
      </c>
      <c r="I3" s="18" t="s">
        <v>9</v>
      </c>
      <c r="J3" s="18" t="s">
        <v>9</v>
      </c>
      <c r="K3" s="18" t="s">
        <v>9</v>
      </c>
      <c r="L3" s="18" t="s">
        <v>9</v>
      </c>
      <c r="N3" s="18" t="s">
        <v>9</v>
      </c>
      <c r="O3" s="18" t="s">
        <v>9</v>
      </c>
      <c r="P3" s="18" t="s">
        <v>9</v>
      </c>
      <c r="Q3" s="18" t="s">
        <v>9</v>
      </c>
    </row>
    <row r="5" spans="1:17" s="8" customFormat="1" x14ac:dyDescent="0.25">
      <c r="A5" s="8">
        <v>1</v>
      </c>
      <c r="B5" s="8" t="s">
        <v>23</v>
      </c>
      <c r="H5" s="6"/>
      <c r="I5" s="6"/>
      <c r="J5" s="6"/>
      <c r="K5" s="6"/>
      <c r="L5" s="6"/>
      <c r="N5" s="6"/>
      <c r="O5" s="6"/>
      <c r="P5" s="6"/>
      <c r="Q5" s="6"/>
    </row>
    <row r="6" spans="1:17" x14ac:dyDescent="0.25">
      <c r="B6" t="s">
        <v>24</v>
      </c>
      <c r="C6" s="5">
        <v>500</v>
      </c>
      <c r="D6" s="21">
        <v>2.7E-2</v>
      </c>
      <c r="E6" s="5">
        <f>C6*D6</f>
        <v>13.5</v>
      </c>
      <c r="F6" s="5">
        <f>SUM(H6:K6)</f>
        <v>500</v>
      </c>
      <c r="G6" s="5">
        <v>0</v>
      </c>
      <c r="H6" s="5">
        <v>90</v>
      </c>
      <c r="I6" s="5">
        <v>154</v>
      </c>
      <c r="J6" s="5">
        <v>130</v>
      </c>
      <c r="K6" s="5">
        <v>126</v>
      </c>
      <c r="L6" s="6">
        <f>SUM(H6:K6)</f>
        <v>500</v>
      </c>
      <c r="N6" s="5">
        <f>H6*D6/12*3</f>
        <v>0.60750000000000004</v>
      </c>
      <c r="O6" s="5">
        <f>H6*D6/12*3+I6*D6/12*3</f>
        <v>1.6470000000000002</v>
      </c>
      <c r="P6" s="5">
        <f>H6*D6/12*9+I6*D6/12*6+J6*D6/12*3</f>
        <v>4.7789999999999999</v>
      </c>
      <c r="Q6" s="6">
        <f>SUM(M6:P6)</f>
        <v>7.0335000000000001</v>
      </c>
    </row>
    <row r="7" spans="1:17" x14ac:dyDescent="0.25">
      <c r="B7" t="s">
        <v>28</v>
      </c>
      <c r="C7" s="5">
        <v>330</v>
      </c>
      <c r="D7" s="21">
        <v>2.8000000000000001E-2</v>
      </c>
      <c r="E7" s="5">
        <f>C7*D7</f>
        <v>9.24</v>
      </c>
      <c r="F7" s="5">
        <f>SUM(H7:K7)</f>
        <v>330</v>
      </c>
      <c r="G7" s="5">
        <v>0</v>
      </c>
      <c r="H7" s="5">
        <v>230</v>
      </c>
      <c r="I7" s="5">
        <v>40</v>
      </c>
      <c r="J7" s="5">
        <v>60</v>
      </c>
      <c r="K7" s="5">
        <v>0</v>
      </c>
      <c r="L7" s="6">
        <f>SUM(H7:K7)</f>
        <v>330</v>
      </c>
      <c r="N7" s="5">
        <f>H7*D7/12*3</f>
        <v>1.6100000000000003</v>
      </c>
      <c r="O7" s="5">
        <f>H7*D7/12*3+I7*D7/12*3</f>
        <v>1.8900000000000003</v>
      </c>
      <c r="P7" s="5">
        <f>H7*D7/12*9+I7*D7/12*6+J7*D7/12*3</f>
        <v>5.8100000000000005</v>
      </c>
      <c r="Q7" s="6">
        <f>SUM(M7:P7)</f>
        <v>9.3100000000000023</v>
      </c>
    </row>
    <row r="8" spans="1:17" x14ac:dyDescent="0.25">
      <c r="A8" s="12"/>
      <c r="B8" s="12"/>
      <c r="C8" s="11">
        <f>SUM(C6:C7)</f>
        <v>830</v>
      </c>
      <c r="D8" s="10"/>
      <c r="E8" s="11">
        <f t="shared" ref="E8:L8" si="0">SUM(E6:E7)</f>
        <v>22.740000000000002</v>
      </c>
      <c r="F8" s="11">
        <f t="shared" si="0"/>
        <v>830</v>
      </c>
      <c r="G8" s="11">
        <f t="shared" si="0"/>
        <v>0</v>
      </c>
      <c r="H8" s="11">
        <f t="shared" si="0"/>
        <v>320</v>
      </c>
      <c r="I8" s="11">
        <f t="shared" si="0"/>
        <v>194</v>
      </c>
      <c r="J8" s="11">
        <f t="shared" si="0"/>
        <v>190</v>
      </c>
      <c r="K8" s="11">
        <f t="shared" si="0"/>
        <v>126</v>
      </c>
      <c r="L8" s="11">
        <f t="shared" si="0"/>
        <v>830</v>
      </c>
      <c r="N8" s="11">
        <f>SUM(N6:N7)</f>
        <v>2.2175000000000002</v>
      </c>
      <c r="O8" s="11">
        <f>SUM(O6:O7)</f>
        <v>3.5370000000000008</v>
      </c>
      <c r="P8" s="11">
        <f>SUM(P6:P7)</f>
        <v>10.589</v>
      </c>
      <c r="Q8" s="11">
        <f>SUM(Q6:Q7)</f>
        <v>16.343500000000002</v>
      </c>
    </row>
    <row r="9" spans="1:17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1:17" s="8" customFormat="1" x14ac:dyDescent="0.25">
      <c r="A10" s="8">
        <v>2</v>
      </c>
      <c r="B10" s="8" t="s">
        <v>30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7" x14ac:dyDescent="0.25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7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7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M36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38.5" bestFit="1" customWidth="1"/>
    <col min="3" max="7" width="8.5" bestFit="1" customWidth="1"/>
    <col min="8" max="8" width="3.625" customWidth="1"/>
    <col min="9" max="9" width="5" bestFit="1" customWidth="1"/>
    <col min="10" max="10" width="5.125" bestFit="1" customWidth="1"/>
    <col min="11" max="11" width="5.5" bestFit="1" customWidth="1"/>
    <col min="12" max="12" width="4.5" bestFit="1" customWidth="1"/>
    <col min="13" max="13" width="5.375" bestFit="1" customWidth="1"/>
  </cols>
  <sheetData>
    <row r="3" spans="1:13" x14ac:dyDescent="0.25">
      <c r="B3" s="16"/>
      <c r="C3" s="17" t="s">
        <v>4</v>
      </c>
      <c r="D3" s="17" t="s">
        <v>5</v>
      </c>
      <c r="E3" s="17" t="s">
        <v>6</v>
      </c>
      <c r="F3" s="17" t="s">
        <v>7</v>
      </c>
      <c r="G3" s="17">
        <v>2021</v>
      </c>
      <c r="I3" s="17" t="s">
        <v>88</v>
      </c>
      <c r="J3" s="17" t="s">
        <v>89</v>
      </c>
      <c r="K3" s="17" t="s">
        <v>90</v>
      </c>
      <c r="L3" s="17" t="s">
        <v>149</v>
      </c>
      <c r="M3" s="17" t="s">
        <v>91</v>
      </c>
    </row>
    <row r="4" spans="1:13" x14ac:dyDescent="0.25">
      <c r="B4" s="16"/>
      <c r="C4" s="18" t="s">
        <v>9</v>
      </c>
      <c r="D4" s="18" t="s">
        <v>9</v>
      </c>
      <c r="E4" s="18" t="s">
        <v>9</v>
      </c>
      <c r="F4" s="18" t="s">
        <v>9</v>
      </c>
      <c r="G4" s="18" t="s">
        <v>9</v>
      </c>
      <c r="I4" s="20" t="s">
        <v>86</v>
      </c>
      <c r="J4" s="20" t="s">
        <v>86</v>
      </c>
      <c r="K4" s="20" t="s">
        <v>86</v>
      </c>
      <c r="L4" s="20" t="s">
        <v>86</v>
      </c>
      <c r="M4" s="20" t="s">
        <v>86</v>
      </c>
    </row>
    <row r="6" spans="1:13" s="8" customFormat="1" x14ac:dyDescent="0.25">
      <c r="A6" s="8">
        <v>1</v>
      </c>
      <c r="B6" s="8" t="s">
        <v>12</v>
      </c>
      <c r="C6" s="6"/>
      <c r="D6" s="6"/>
      <c r="E6" s="6"/>
      <c r="F6" s="6"/>
      <c r="G6" s="6"/>
      <c r="H6" s="6"/>
    </row>
    <row r="7" spans="1:13" x14ac:dyDescent="0.25">
      <c r="B7" t="s">
        <v>13</v>
      </c>
      <c r="C7" s="5">
        <f>23+41</f>
        <v>64</v>
      </c>
      <c r="D7" s="5">
        <f>342/3</f>
        <v>114</v>
      </c>
      <c r="E7" s="5">
        <f t="shared" ref="E7:F7" si="0">342/3</f>
        <v>114</v>
      </c>
      <c r="F7" s="5">
        <f t="shared" si="0"/>
        <v>114</v>
      </c>
      <c r="G7" s="6">
        <f>SUM(C7:F7)</f>
        <v>406</v>
      </c>
      <c r="H7" s="5"/>
    </row>
    <row r="8" spans="1:13" x14ac:dyDescent="0.25">
      <c r="A8" s="12"/>
      <c r="B8" s="12"/>
      <c r="C8" s="11">
        <f>SUM(C7)</f>
        <v>64</v>
      </c>
      <c r="D8" s="11">
        <f t="shared" ref="D8:G8" si="1">SUM(D7)</f>
        <v>114</v>
      </c>
      <c r="E8" s="11">
        <f t="shared" si="1"/>
        <v>114</v>
      </c>
      <c r="F8" s="11">
        <f t="shared" si="1"/>
        <v>114</v>
      </c>
      <c r="G8" s="11">
        <f t="shared" si="1"/>
        <v>406</v>
      </c>
      <c r="H8" s="5"/>
    </row>
    <row r="9" spans="1:13" x14ac:dyDescent="0.25">
      <c r="C9" s="5"/>
      <c r="D9" s="5"/>
      <c r="E9" s="5"/>
      <c r="F9" s="5"/>
      <c r="G9" s="5"/>
      <c r="H9" s="5"/>
    </row>
    <row r="10" spans="1:13" s="8" customFormat="1" x14ac:dyDescent="0.25">
      <c r="A10" s="8">
        <v>2</v>
      </c>
      <c r="B10" s="8" t="s">
        <v>14</v>
      </c>
      <c r="H10" s="6"/>
    </row>
    <row r="11" spans="1:13" s="27" customFormat="1" x14ac:dyDescent="0.25">
      <c r="B11" s="27" t="s">
        <v>93</v>
      </c>
      <c r="C11" s="5">
        <v>11</v>
      </c>
      <c r="D11" s="5">
        <f>C11</f>
        <v>11</v>
      </c>
      <c r="E11" s="5">
        <f>D11*2</f>
        <v>22</v>
      </c>
      <c r="F11" s="5">
        <f>E11*2</f>
        <v>44</v>
      </c>
      <c r="G11" s="6">
        <f>SUM(C11:F11)</f>
        <v>88</v>
      </c>
      <c r="H11" s="28"/>
    </row>
    <row r="12" spans="1:13" s="27" customFormat="1" x14ac:dyDescent="0.25">
      <c r="B12" s="27" t="s">
        <v>94</v>
      </c>
      <c r="C12" s="5">
        <v>12</v>
      </c>
      <c r="D12" s="5">
        <f>C12</f>
        <v>12</v>
      </c>
      <c r="E12" s="5">
        <f>D12*1.3</f>
        <v>15.600000000000001</v>
      </c>
      <c r="F12" s="5">
        <f>E12*1.3</f>
        <v>20.28</v>
      </c>
      <c r="G12" s="6">
        <f>SUM(C12:F12)</f>
        <v>59.88</v>
      </c>
      <c r="H12" s="28"/>
    </row>
    <row r="13" spans="1:13" x14ac:dyDescent="0.25">
      <c r="B13" t="s">
        <v>95</v>
      </c>
      <c r="C13" s="5">
        <v>11</v>
      </c>
      <c r="D13" s="5">
        <v>11</v>
      </c>
      <c r="E13" s="5">
        <v>23</v>
      </c>
      <c r="F13" s="5">
        <v>23</v>
      </c>
      <c r="G13" s="6">
        <f>SUM(C13:F13)</f>
        <v>68</v>
      </c>
      <c r="H13" s="5"/>
    </row>
    <row r="14" spans="1:13" x14ac:dyDescent="0.25">
      <c r="B14" t="s">
        <v>15</v>
      </c>
      <c r="C14" s="5">
        <v>0</v>
      </c>
      <c r="D14" s="5">
        <v>0</v>
      </c>
      <c r="E14" s="5">
        <v>0</v>
      </c>
      <c r="F14" s="5">
        <f>3*9000*1.95583/1000</f>
        <v>52.807409999999997</v>
      </c>
      <c r="G14" s="6">
        <f>SUM(C14:F14)</f>
        <v>52.807409999999997</v>
      </c>
      <c r="H14" s="5"/>
    </row>
    <row r="15" spans="1:13" x14ac:dyDescent="0.25">
      <c r="A15" s="12"/>
      <c r="B15" s="12"/>
      <c r="C15" s="11">
        <f t="shared" ref="C15:F15" si="2">SUM(C11:C14)</f>
        <v>34</v>
      </c>
      <c r="D15" s="11">
        <f t="shared" si="2"/>
        <v>34</v>
      </c>
      <c r="E15" s="11">
        <f t="shared" si="2"/>
        <v>60.6</v>
      </c>
      <c r="F15" s="11">
        <f t="shared" si="2"/>
        <v>140.08741000000001</v>
      </c>
      <c r="G15" s="11">
        <f>SUM(G11:G14)</f>
        <v>268.68741</v>
      </c>
      <c r="H15" s="5"/>
    </row>
    <row r="16" spans="1:13" x14ac:dyDescent="0.25">
      <c r="C16" s="5"/>
      <c r="D16" s="5"/>
      <c r="E16" s="5"/>
      <c r="F16" s="5"/>
      <c r="G16" s="5"/>
      <c r="H16" s="5"/>
    </row>
    <row r="17" spans="1:9" x14ac:dyDescent="0.25">
      <c r="A17" s="8">
        <v>3</v>
      </c>
      <c r="B17" s="8" t="s">
        <v>16</v>
      </c>
      <c r="C17" s="6"/>
      <c r="D17" s="6"/>
      <c r="E17" s="6"/>
      <c r="F17" s="6"/>
      <c r="G17" s="6"/>
      <c r="H17" s="5"/>
    </row>
    <row r="18" spans="1:9" x14ac:dyDescent="0.25">
      <c r="B18" t="s">
        <v>154</v>
      </c>
      <c r="C18" s="5">
        <f>FA!K22</f>
        <v>9.1760299625468167E-2</v>
      </c>
      <c r="D18" s="5">
        <f>FA!L22</f>
        <v>19.216760299625467</v>
      </c>
      <c r="E18" s="5">
        <f>FA!M22</f>
        <v>43.65426029962547</v>
      </c>
      <c r="F18" s="5">
        <f>FA!N22</f>
        <v>58.287687265917604</v>
      </c>
      <c r="G18" s="6">
        <f t="shared" ref="G18:G19" si="3">SUM(C18:F18)</f>
        <v>121.250468164794</v>
      </c>
      <c r="H18" s="5"/>
    </row>
    <row r="19" spans="1:9" x14ac:dyDescent="0.25">
      <c r="B19" t="s">
        <v>155</v>
      </c>
      <c r="C19" s="5">
        <v>0</v>
      </c>
      <c r="D19" s="5"/>
      <c r="E19" s="5"/>
      <c r="F19" s="5"/>
      <c r="G19" s="6">
        <f t="shared" si="3"/>
        <v>0</v>
      </c>
      <c r="H19" s="5"/>
    </row>
    <row r="20" spans="1:9" x14ac:dyDescent="0.25">
      <c r="A20" s="12"/>
      <c r="B20" s="12"/>
      <c r="C20" s="11">
        <f>SUM(C18:C19)</f>
        <v>9.1760299625468167E-2</v>
      </c>
      <c r="D20" s="11">
        <f t="shared" ref="D20:G20" si="4">SUM(D18:D19)</f>
        <v>19.216760299625467</v>
      </c>
      <c r="E20" s="11">
        <f t="shared" si="4"/>
        <v>43.65426029962547</v>
      </c>
      <c r="F20" s="11">
        <f t="shared" si="4"/>
        <v>58.287687265917604</v>
      </c>
      <c r="G20" s="11">
        <f t="shared" si="4"/>
        <v>121.250468164794</v>
      </c>
      <c r="H20" s="5"/>
    </row>
    <row r="21" spans="1:9" x14ac:dyDescent="0.25">
      <c r="C21" s="5"/>
      <c r="D21" s="5"/>
      <c r="E21" s="5"/>
      <c r="F21" s="5"/>
      <c r="G21" s="5"/>
      <c r="H21" s="5"/>
    </row>
    <row r="22" spans="1:9" s="8" customFormat="1" x14ac:dyDescent="0.25">
      <c r="A22" s="8">
        <v>4</v>
      </c>
      <c r="B22" s="8" t="s">
        <v>17</v>
      </c>
      <c r="C22" s="6"/>
      <c r="D22" s="6"/>
      <c r="E22" s="6"/>
      <c r="F22" s="6"/>
      <c r="G22" s="6"/>
      <c r="H22" s="6"/>
    </row>
    <row r="23" spans="1:9" x14ac:dyDescent="0.25">
      <c r="B23" t="s">
        <v>18</v>
      </c>
      <c r="C23" s="5">
        <v>8</v>
      </c>
      <c r="D23" s="5">
        <f>10*1.8*3</f>
        <v>54</v>
      </c>
      <c r="E23" s="5">
        <f>10*1.8*3</f>
        <v>54</v>
      </c>
      <c r="F23" s="5">
        <f>10*1.8*3</f>
        <v>54</v>
      </c>
      <c r="G23" s="6">
        <f t="shared" ref="G23:G24" si="5">SUM(C23:F23)</f>
        <v>170</v>
      </c>
      <c r="H23" s="5"/>
    </row>
    <row r="24" spans="1:9" x14ac:dyDescent="0.25">
      <c r="B24" t="s">
        <v>19</v>
      </c>
      <c r="C24" s="5">
        <v>2</v>
      </c>
      <c r="D24" s="5">
        <f>D23*0.33</f>
        <v>17.82</v>
      </c>
      <c r="E24" s="5">
        <f>E23*0.34</f>
        <v>18.360000000000003</v>
      </c>
      <c r="F24" s="5">
        <f>F23*0.34</f>
        <v>18.360000000000003</v>
      </c>
      <c r="G24" s="6">
        <f t="shared" si="5"/>
        <v>56.540000000000006</v>
      </c>
      <c r="H24" s="5"/>
    </row>
    <row r="25" spans="1:9" x14ac:dyDescent="0.25">
      <c r="A25" s="12"/>
      <c r="B25" s="12"/>
      <c r="C25" s="11">
        <f>SUM(C23:C24)</f>
        <v>10</v>
      </c>
      <c r="D25" s="11">
        <f t="shared" ref="D25:G25" si="6">SUM(D23:D24)</f>
        <v>71.819999999999993</v>
      </c>
      <c r="E25" s="11">
        <f t="shared" si="6"/>
        <v>72.36</v>
      </c>
      <c r="F25" s="11">
        <f t="shared" si="6"/>
        <v>72.36</v>
      </c>
      <c r="G25" s="11">
        <f t="shared" si="6"/>
        <v>226.54000000000002</v>
      </c>
      <c r="H25" s="5"/>
    </row>
    <row r="26" spans="1:9" x14ac:dyDescent="0.25">
      <c r="C26" s="5"/>
      <c r="D26" s="5"/>
      <c r="E26" s="5"/>
      <c r="F26" s="5"/>
      <c r="G26" s="5"/>
      <c r="H26" s="5"/>
    </row>
    <row r="27" spans="1:9" s="8" customFormat="1" x14ac:dyDescent="0.25">
      <c r="A27" s="8">
        <v>5</v>
      </c>
      <c r="B27" s="8" t="s">
        <v>20</v>
      </c>
      <c r="C27" s="6"/>
      <c r="D27" s="6"/>
      <c r="E27" s="6"/>
      <c r="F27" s="6"/>
      <c r="G27" s="6"/>
      <c r="H27" s="6"/>
      <c r="I27" s="6"/>
    </row>
    <row r="28" spans="1:9" x14ac:dyDescent="0.25">
      <c r="B28" t="s">
        <v>21</v>
      </c>
      <c r="C28" s="5">
        <f>Income!B13*55%</f>
        <v>93.500000000000014</v>
      </c>
      <c r="D28" s="5">
        <f>Income!C13*55%</f>
        <v>165</v>
      </c>
      <c r="E28" s="5">
        <f>Income!D13*55%</f>
        <v>165</v>
      </c>
      <c r="F28" s="5">
        <f>Income!E13*55%</f>
        <v>165</v>
      </c>
      <c r="G28" s="6">
        <f>SUM(C28:F28)</f>
        <v>588.5</v>
      </c>
      <c r="H28" s="5"/>
      <c r="I28" s="5"/>
    </row>
    <row r="29" spans="1:9" x14ac:dyDescent="0.25">
      <c r="B29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/>
      <c r="I29" s="5"/>
    </row>
    <row r="30" spans="1:9" x14ac:dyDescent="0.25">
      <c r="A30" s="12"/>
      <c r="B30" s="12"/>
      <c r="C30" s="11">
        <f>SUM(C28:C29)</f>
        <v>93.500000000000014</v>
      </c>
      <c r="D30" s="11">
        <f t="shared" ref="D30:G30" si="7">SUM(D28:D29)</f>
        <v>165</v>
      </c>
      <c r="E30" s="11">
        <f t="shared" si="7"/>
        <v>165</v>
      </c>
      <c r="F30" s="11">
        <f t="shared" si="7"/>
        <v>165</v>
      </c>
      <c r="G30" s="11">
        <f t="shared" si="7"/>
        <v>588.5</v>
      </c>
      <c r="H30" s="5"/>
      <c r="I30" s="5"/>
    </row>
    <row r="31" spans="1:9" x14ac:dyDescent="0.25">
      <c r="C31" s="5"/>
      <c r="D31" s="5"/>
      <c r="E31" s="5"/>
      <c r="F31" s="5"/>
      <c r="G31" s="5"/>
      <c r="H31" s="5"/>
      <c r="I31" s="5"/>
    </row>
    <row r="32" spans="1:9" x14ac:dyDescent="0.25">
      <c r="A32" s="8">
        <v>6</v>
      </c>
      <c r="B32" s="8" t="s">
        <v>151</v>
      </c>
      <c r="C32" s="5"/>
      <c r="D32" s="5"/>
      <c r="E32" s="5"/>
      <c r="F32" s="5"/>
      <c r="G32" s="5"/>
      <c r="H32" s="5"/>
      <c r="I32" s="5"/>
    </row>
    <row r="33" spans="1:8" x14ac:dyDescent="0.25">
      <c r="B33" t="s">
        <v>49</v>
      </c>
      <c r="C33" s="5">
        <v>0</v>
      </c>
      <c r="D33" s="4"/>
      <c r="E33" s="5"/>
      <c r="F33" s="5"/>
      <c r="G33" s="5"/>
      <c r="H33" s="5"/>
    </row>
    <row r="34" spans="1:8" x14ac:dyDescent="0.25">
      <c r="B34" t="s">
        <v>152</v>
      </c>
      <c r="C34" s="5">
        <v>3</v>
      </c>
      <c r="D34" s="5"/>
      <c r="E34" s="5"/>
      <c r="F34" s="5"/>
      <c r="G34" s="5"/>
      <c r="H34" s="5"/>
    </row>
    <row r="35" spans="1:8" x14ac:dyDescent="0.25">
      <c r="A35" s="12"/>
      <c r="B35" s="12"/>
      <c r="C35" s="10"/>
      <c r="D35" s="10"/>
      <c r="E35" s="10"/>
      <c r="F35" s="10"/>
      <c r="G35" s="10"/>
      <c r="H35" s="5"/>
    </row>
    <row r="36" spans="1:8" x14ac:dyDescent="0.25">
      <c r="C36" s="5"/>
      <c r="D36" s="5"/>
      <c r="E36" s="5"/>
      <c r="F36" s="5"/>
      <c r="G36" s="5"/>
      <c r="H36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T31"/>
  <sheetViews>
    <sheetView workbookViewId="0">
      <selection sqref="A1:XFD1048576"/>
    </sheetView>
  </sheetViews>
  <sheetFormatPr defaultColWidth="11" defaultRowHeight="15.75" x14ac:dyDescent="0.25"/>
  <cols>
    <col min="1" max="1" width="3.125" bestFit="1" customWidth="1"/>
    <col min="2" max="2" width="39.5" bestFit="1" customWidth="1"/>
    <col min="3" max="8" width="8.5" bestFit="1" customWidth="1"/>
    <col min="9" max="9" width="2.125" customWidth="1"/>
    <col min="10" max="10" width="5" bestFit="1" customWidth="1"/>
    <col min="11" max="11" width="5.125" bestFit="1" customWidth="1"/>
    <col min="12" max="12" width="5.5" bestFit="1" customWidth="1"/>
    <col min="13" max="13" width="4.625" bestFit="1" customWidth="1"/>
    <col min="14" max="14" width="5.375" bestFit="1" customWidth="1"/>
    <col min="15" max="15" width="3.375" customWidth="1"/>
  </cols>
  <sheetData>
    <row r="4" spans="1:20" x14ac:dyDescent="0.25">
      <c r="A4" s="16" t="s">
        <v>98</v>
      </c>
      <c r="B4" s="16"/>
      <c r="C4" s="17" t="s">
        <v>101</v>
      </c>
      <c r="D4" s="17" t="s">
        <v>4</v>
      </c>
      <c r="E4" s="17" t="s">
        <v>5</v>
      </c>
      <c r="F4" s="17" t="s">
        <v>6</v>
      </c>
      <c r="G4" s="17" t="s">
        <v>7</v>
      </c>
      <c r="H4" s="17">
        <v>2021</v>
      </c>
      <c r="J4" s="17" t="s">
        <v>88</v>
      </c>
      <c r="K4" s="17" t="s">
        <v>89</v>
      </c>
      <c r="L4" s="17" t="s">
        <v>90</v>
      </c>
      <c r="M4" s="17" t="s">
        <v>149</v>
      </c>
      <c r="N4" s="17" t="s">
        <v>91</v>
      </c>
    </row>
    <row r="5" spans="1:20" x14ac:dyDescent="0.25">
      <c r="A5" s="16"/>
      <c r="B5" s="16"/>
      <c r="C5" s="31" t="s">
        <v>9</v>
      </c>
      <c r="D5" s="31" t="s">
        <v>9</v>
      </c>
      <c r="E5" s="31" t="s">
        <v>9</v>
      </c>
      <c r="F5" s="31" t="s">
        <v>9</v>
      </c>
      <c r="G5" s="31" t="s">
        <v>9</v>
      </c>
      <c r="H5" s="31" t="s">
        <v>9</v>
      </c>
      <c r="J5" s="20" t="s">
        <v>86</v>
      </c>
      <c r="K5" s="20" t="s">
        <v>86</v>
      </c>
      <c r="L5" s="20" t="s">
        <v>86</v>
      </c>
      <c r="M5" s="20" t="s">
        <v>86</v>
      </c>
      <c r="N5" s="20" t="s">
        <v>86</v>
      </c>
      <c r="P5" s="8"/>
      <c r="Q5" s="8"/>
      <c r="R5" s="8"/>
      <c r="S5" s="8"/>
      <c r="T5" s="8"/>
    </row>
    <row r="7" spans="1:20" x14ac:dyDescent="0.25">
      <c r="A7">
        <v>1</v>
      </c>
      <c r="B7" t="s">
        <v>96</v>
      </c>
      <c r="C7" s="5">
        <v>0</v>
      </c>
      <c r="D7" s="5">
        <f>C7+D17-D27</f>
        <v>0</v>
      </c>
      <c r="E7" s="5">
        <f>D7+E17-E27</f>
        <v>0</v>
      </c>
      <c r="F7" s="5">
        <f>E7+F17-F27</f>
        <v>0</v>
      </c>
      <c r="G7" s="5">
        <f>F7+G17-G27</f>
        <v>0</v>
      </c>
      <c r="H7" s="6">
        <f>G7</f>
        <v>0</v>
      </c>
      <c r="J7" s="26">
        <f>'R&amp;D expenses'!C9</f>
        <v>0.15</v>
      </c>
      <c r="K7" s="26">
        <f>'Sales and marketing'!C8</f>
        <v>0.05</v>
      </c>
      <c r="L7" s="26">
        <f>'GA expenses'!C8</f>
        <v>0.1</v>
      </c>
      <c r="M7" s="26">
        <v>0.25</v>
      </c>
      <c r="N7" s="26">
        <f>SUM(J7:M7)</f>
        <v>0.55000000000000004</v>
      </c>
    </row>
    <row r="8" spans="1:20" x14ac:dyDescent="0.25">
      <c r="A8">
        <v>2</v>
      </c>
      <c r="B8" t="s">
        <v>97</v>
      </c>
      <c r="C8" s="5">
        <v>0</v>
      </c>
      <c r="D8" s="5">
        <f t="shared" ref="D8:E10" si="0">C8+D18-D28</f>
        <v>53.170468164794002</v>
      </c>
      <c r="E8" s="5">
        <f t="shared" si="0"/>
        <v>182.04268632958804</v>
      </c>
      <c r="F8" s="5">
        <f t="shared" ref="F8:G8" si="1">E8+F18-F28</f>
        <v>336.14452949438203</v>
      </c>
      <c r="G8" s="5">
        <f t="shared" si="1"/>
        <v>4.3437906366534662E-3</v>
      </c>
      <c r="H8" s="6">
        <f t="shared" ref="H8:H10" si="2">G8</f>
        <v>4.3437906366534662E-3</v>
      </c>
      <c r="J8" s="26">
        <f>'R&amp;D expenses'!C10</f>
        <v>0.1</v>
      </c>
      <c r="K8" s="26">
        <f>'Sales and marketing'!C9</f>
        <v>0</v>
      </c>
      <c r="L8" s="26">
        <f>'GA expenses'!C9</f>
        <v>0.05</v>
      </c>
      <c r="M8" s="26">
        <v>0.15</v>
      </c>
      <c r="N8" s="26">
        <f>SUM(J8:M8)</f>
        <v>0.30000000000000004</v>
      </c>
    </row>
    <row r="9" spans="1:20" x14ac:dyDescent="0.25">
      <c r="A9">
        <v>3</v>
      </c>
      <c r="B9" t="s">
        <v>99</v>
      </c>
      <c r="C9" s="5">
        <v>0</v>
      </c>
      <c r="D9" s="5">
        <f t="shared" si="0"/>
        <v>0</v>
      </c>
      <c r="E9" s="5">
        <f t="shared" si="0"/>
        <v>0</v>
      </c>
      <c r="F9" s="5">
        <f t="shared" ref="F9:G9" si="3">E9+F19-F29</f>
        <v>0</v>
      </c>
      <c r="G9" s="5">
        <f t="shared" si="3"/>
        <v>0</v>
      </c>
      <c r="H9" s="6">
        <f t="shared" si="2"/>
        <v>0</v>
      </c>
      <c r="J9" s="26">
        <f>'R&amp;D expenses'!C11</f>
        <v>0.1</v>
      </c>
      <c r="K9" s="26">
        <f>'Sales and marketing'!C10</f>
        <v>0.05</v>
      </c>
      <c r="L9" s="26">
        <f>'GA expenses'!C10</f>
        <v>0.1</v>
      </c>
      <c r="M9" s="26">
        <v>0.25</v>
      </c>
      <c r="N9" s="26">
        <f>SUM(J9:M9)</f>
        <v>0.5</v>
      </c>
    </row>
    <row r="10" spans="1:20" x14ac:dyDescent="0.25">
      <c r="A10">
        <v>4</v>
      </c>
      <c r="B10" t="s">
        <v>100</v>
      </c>
      <c r="C10" s="5">
        <v>0</v>
      </c>
      <c r="D10" s="5">
        <f t="shared" si="0"/>
        <v>0</v>
      </c>
      <c r="E10" s="5">
        <f t="shared" si="0"/>
        <v>0</v>
      </c>
      <c r="F10" s="5">
        <f t="shared" ref="F10:G10" si="4">E10+F20-F30</f>
        <v>0</v>
      </c>
      <c r="G10" s="5">
        <f t="shared" si="4"/>
        <v>0</v>
      </c>
      <c r="H10" s="6">
        <f t="shared" si="2"/>
        <v>0</v>
      </c>
      <c r="J10" s="26">
        <f>'R&amp;D expenses'!C12</f>
        <v>0</v>
      </c>
      <c r="K10" s="26">
        <f>'Sales and marketing'!C11</f>
        <v>0</v>
      </c>
      <c r="L10" s="26">
        <f>'GA expenses'!C11</f>
        <v>0</v>
      </c>
      <c r="M10" s="26">
        <v>0.25</v>
      </c>
      <c r="N10" s="26">
        <f>SUM(J10:M10)</f>
        <v>0.25</v>
      </c>
    </row>
    <row r="11" spans="1:20" x14ac:dyDescent="0.25">
      <c r="A11" s="12"/>
      <c r="B11" s="12"/>
      <c r="C11" s="11">
        <f>SUM(C7:C10)</f>
        <v>0</v>
      </c>
      <c r="D11" s="11">
        <f>SUM(D7:D10)</f>
        <v>53.170468164794002</v>
      </c>
      <c r="E11" s="11">
        <f t="shared" ref="E11:H11" si="5">SUM(E7:E10)</f>
        <v>182.04268632958804</v>
      </c>
      <c r="F11" s="11">
        <f t="shared" si="5"/>
        <v>336.14452949438203</v>
      </c>
      <c r="G11" s="11">
        <f t="shared" si="5"/>
        <v>4.3437906366534662E-3</v>
      </c>
      <c r="H11" s="11">
        <f t="shared" si="5"/>
        <v>4.3437906366534662E-3</v>
      </c>
    </row>
    <row r="12" spans="1:20" x14ac:dyDescent="0.25">
      <c r="C12" s="3"/>
      <c r="D12" s="3"/>
      <c r="E12" s="3"/>
      <c r="F12" s="3"/>
      <c r="G12" s="3"/>
      <c r="H12" s="3"/>
    </row>
    <row r="13" spans="1:20" x14ac:dyDescent="0.25">
      <c r="B13" s="8" t="s">
        <v>102</v>
      </c>
      <c r="C13" s="5"/>
      <c r="D13" s="5"/>
      <c r="E13" s="5"/>
      <c r="F13" s="5"/>
      <c r="G13" s="5"/>
      <c r="H13" s="5"/>
    </row>
    <row r="14" spans="1:20" x14ac:dyDescent="0.25">
      <c r="A14" s="15"/>
      <c r="B14" s="16"/>
      <c r="C14" s="17"/>
      <c r="D14" s="17" t="s">
        <v>4</v>
      </c>
      <c r="E14" s="17" t="s">
        <v>5</v>
      </c>
      <c r="F14" s="17" t="s">
        <v>6</v>
      </c>
      <c r="G14" s="17" t="s">
        <v>7</v>
      </c>
      <c r="H14" s="17">
        <v>2021</v>
      </c>
      <c r="J14" s="17" t="s">
        <v>88</v>
      </c>
      <c r="K14" s="17" t="s">
        <v>89</v>
      </c>
      <c r="L14" s="17" t="s">
        <v>90</v>
      </c>
      <c r="M14" s="17" t="s">
        <v>149</v>
      </c>
      <c r="N14" s="17" t="s">
        <v>91</v>
      </c>
    </row>
    <row r="15" spans="1:20" x14ac:dyDescent="0.25">
      <c r="A15" s="15"/>
      <c r="B15" s="16"/>
      <c r="C15" s="18"/>
      <c r="D15" s="18" t="s">
        <v>9</v>
      </c>
      <c r="E15" s="18" t="s">
        <v>9</v>
      </c>
      <c r="F15" s="18" t="s">
        <v>9</v>
      </c>
      <c r="G15" s="18" t="s">
        <v>9</v>
      </c>
      <c r="H15" s="18" t="s">
        <v>9</v>
      </c>
      <c r="J15" s="20" t="s">
        <v>86</v>
      </c>
      <c r="K15" s="20" t="s">
        <v>86</v>
      </c>
      <c r="L15" s="20" t="s">
        <v>86</v>
      </c>
      <c r="M15" s="20" t="s">
        <v>86</v>
      </c>
      <c r="N15" s="20" t="s">
        <v>86</v>
      </c>
    </row>
    <row r="17" spans="1:14" x14ac:dyDescent="0.25">
      <c r="A17">
        <v>1</v>
      </c>
      <c r="B17" t="s">
        <v>96</v>
      </c>
      <c r="C17" s="5"/>
      <c r="D17" s="5">
        <v>174</v>
      </c>
      <c r="E17" s="5"/>
      <c r="F17" s="5"/>
      <c r="G17" s="5"/>
      <c r="H17" s="6">
        <f>G17</f>
        <v>0</v>
      </c>
      <c r="J17" s="26">
        <f>'R&amp;D expenses'!C19</f>
        <v>0</v>
      </c>
      <c r="K17" s="26">
        <f>'Sales and marketing'!C18</f>
        <v>0</v>
      </c>
      <c r="L17" s="26">
        <f>'GA expenses'!C18</f>
        <v>0</v>
      </c>
      <c r="M17" s="26">
        <v>0.25</v>
      </c>
      <c r="N17" s="26">
        <f>SUM(J17:M17)</f>
        <v>0.25</v>
      </c>
    </row>
    <row r="18" spans="1:14" x14ac:dyDescent="0.25">
      <c r="A18">
        <v>2</v>
      </c>
      <c r="B18" t="s">
        <v>97</v>
      </c>
      <c r="C18" s="5"/>
      <c r="D18" s="5">
        <f>'PC prototype'!D10</f>
        <v>53.170468164794002</v>
      </c>
      <c r="E18" s="5">
        <f>'PC prototype'!E10</f>
        <v>128.87221816479402</v>
      </c>
      <c r="F18" s="5">
        <f>'PC prototype'!F10</f>
        <v>154.10184316479399</v>
      </c>
      <c r="G18" s="5">
        <f>'PC prototype'!G10</f>
        <v>196.32981429625468</v>
      </c>
      <c r="H18" s="6">
        <f>SUM(D18:G18)</f>
        <v>532.47434379063668</v>
      </c>
      <c r="J18" s="26">
        <f>'R&amp;D expenses'!C20</f>
        <v>0</v>
      </c>
      <c r="K18" s="26">
        <f>'Sales and marketing'!C19</f>
        <v>0</v>
      </c>
      <c r="L18" s="26">
        <f>'GA expenses'!C19</f>
        <v>0</v>
      </c>
      <c r="M18" s="26">
        <v>0.15</v>
      </c>
      <c r="N18" s="26">
        <f>SUM(J18:M18)</f>
        <v>0.15</v>
      </c>
    </row>
    <row r="19" spans="1:14" x14ac:dyDescent="0.25">
      <c r="A19">
        <v>3</v>
      </c>
      <c r="B19" t="s">
        <v>99</v>
      </c>
      <c r="C19" s="5"/>
      <c r="D19" s="5">
        <v>0</v>
      </c>
      <c r="E19" s="5"/>
      <c r="F19" s="5"/>
      <c r="G19" s="5"/>
      <c r="H19" s="6">
        <f t="shared" ref="H19:H20" si="6">G19</f>
        <v>0</v>
      </c>
      <c r="J19" s="26">
        <f>'R&amp;D expenses'!C21</f>
        <v>0</v>
      </c>
      <c r="K19" s="26">
        <f>'Sales and marketing'!C20</f>
        <v>0</v>
      </c>
      <c r="L19" s="26">
        <f>'GA expenses'!C20</f>
        <v>0</v>
      </c>
      <c r="M19" s="26">
        <v>0.25</v>
      </c>
      <c r="N19" s="26">
        <f>SUM(J19:M19)</f>
        <v>0.25</v>
      </c>
    </row>
    <row r="20" spans="1:14" x14ac:dyDescent="0.25">
      <c r="A20">
        <v>4</v>
      </c>
      <c r="B20" t="s">
        <v>100</v>
      </c>
      <c r="C20" s="5"/>
      <c r="D20" s="5">
        <v>0</v>
      </c>
      <c r="E20" s="5"/>
      <c r="F20" s="5"/>
      <c r="G20" s="5"/>
      <c r="H20" s="6">
        <f t="shared" si="6"/>
        <v>0</v>
      </c>
      <c r="J20" s="26">
        <f>'R&amp;D expenses'!C22</f>
        <v>0</v>
      </c>
      <c r="K20" s="26">
        <f>'Sales and marketing'!C21</f>
        <v>0</v>
      </c>
      <c r="L20" s="26">
        <f>'GA expenses'!C21</f>
        <v>0</v>
      </c>
      <c r="M20" s="26">
        <v>0.25</v>
      </c>
      <c r="N20" s="26">
        <f>SUM(J20:M20)</f>
        <v>0.25</v>
      </c>
    </row>
    <row r="21" spans="1:14" x14ac:dyDescent="0.25">
      <c r="A21" s="12"/>
      <c r="B21" s="12"/>
      <c r="C21" s="11">
        <f>SUM(C17:C19)</f>
        <v>0</v>
      </c>
      <c r="D21" s="11">
        <f>SUM(D17:D20)</f>
        <v>227.17046816479399</v>
      </c>
      <c r="E21" s="11">
        <f t="shared" ref="E21:G21" si="7">SUM(E17:E19)</f>
        <v>128.87221816479402</v>
      </c>
      <c r="F21" s="11">
        <f t="shared" si="7"/>
        <v>154.10184316479399</v>
      </c>
      <c r="G21" s="11">
        <f t="shared" si="7"/>
        <v>196.32981429625468</v>
      </c>
      <c r="H21" s="11">
        <f>SUM(H17:H20)</f>
        <v>532.47434379063668</v>
      </c>
    </row>
    <row r="23" spans="1:14" x14ac:dyDescent="0.25">
      <c r="B23" s="8" t="s">
        <v>103</v>
      </c>
    </row>
    <row r="24" spans="1:14" x14ac:dyDescent="0.25">
      <c r="A24" s="15"/>
      <c r="B24" s="16"/>
      <c r="C24" s="17"/>
      <c r="D24" s="17" t="s">
        <v>4</v>
      </c>
      <c r="E24" s="17" t="s">
        <v>5</v>
      </c>
      <c r="F24" s="17" t="s">
        <v>6</v>
      </c>
      <c r="G24" s="17" t="s">
        <v>7</v>
      </c>
      <c r="H24" s="17">
        <v>2021</v>
      </c>
      <c r="J24" s="17" t="s">
        <v>88</v>
      </c>
      <c r="K24" s="17" t="s">
        <v>89</v>
      </c>
      <c r="L24" s="17" t="s">
        <v>90</v>
      </c>
      <c r="M24" s="17" t="s">
        <v>149</v>
      </c>
      <c r="N24" s="17" t="s">
        <v>91</v>
      </c>
    </row>
    <row r="25" spans="1:14" x14ac:dyDescent="0.25">
      <c r="A25" s="15"/>
      <c r="B25" s="16"/>
      <c r="C25" s="18"/>
      <c r="D25" s="18" t="s">
        <v>9</v>
      </c>
      <c r="E25" s="18" t="s">
        <v>9</v>
      </c>
      <c r="F25" s="18" t="s">
        <v>9</v>
      </c>
      <c r="G25" s="18" t="s">
        <v>9</v>
      </c>
      <c r="H25" s="18" t="s">
        <v>9</v>
      </c>
      <c r="J25" s="20" t="s">
        <v>86</v>
      </c>
      <c r="K25" s="20" t="s">
        <v>86</v>
      </c>
      <c r="L25" s="20" t="s">
        <v>86</v>
      </c>
      <c r="M25" s="20" t="s">
        <v>86</v>
      </c>
      <c r="N25" s="20" t="s">
        <v>86</v>
      </c>
    </row>
    <row r="27" spans="1:14" x14ac:dyDescent="0.25">
      <c r="A27">
        <v>1</v>
      </c>
      <c r="B27" t="s">
        <v>96</v>
      </c>
      <c r="C27" s="5"/>
      <c r="D27" s="5">
        <v>174</v>
      </c>
      <c r="E27" s="5"/>
      <c r="F27" s="5"/>
      <c r="G27" s="5"/>
      <c r="H27" s="6">
        <f>G27</f>
        <v>0</v>
      </c>
      <c r="J27" s="26">
        <f>'R&amp;D expenses'!C29</f>
        <v>0</v>
      </c>
      <c r="K27" s="26">
        <f>'Sales and marketing'!C28</f>
        <v>0</v>
      </c>
      <c r="L27" s="26">
        <f>'GA expenses'!C28</f>
        <v>0</v>
      </c>
      <c r="M27" s="26">
        <v>0.25</v>
      </c>
      <c r="N27" s="26">
        <f>SUM(J27:M27)</f>
        <v>0.25</v>
      </c>
    </row>
    <row r="28" spans="1:14" x14ac:dyDescent="0.25">
      <c r="A28">
        <v>2</v>
      </c>
      <c r="B28" t="s">
        <v>97</v>
      </c>
      <c r="C28" s="5"/>
      <c r="D28" s="5">
        <v>0</v>
      </c>
      <c r="E28" s="5">
        <v>0</v>
      </c>
      <c r="F28" s="5">
        <v>0</v>
      </c>
      <c r="G28" s="5">
        <v>532.47</v>
      </c>
      <c r="H28" s="6">
        <f t="shared" ref="H28:H30" si="8">G28</f>
        <v>532.47</v>
      </c>
      <c r="J28" s="26">
        <f>'R&amp;D expenses'!C30</f>
        <v>0</v>
      </c>
      <c r="K28" s="26">
        <f>'Sales and marketing'!C29</f>
        <v>0</v>
      </c>
      <c r="L28" s="26">
        <f>'GA expenses'!C29</f>
        <v>0</v>
      </c>
      <c r="M28" s="26">
        <v>0.15</v>
      </c>
      <c r="N28" s="26">
        <f>SUM(J28:M28)</f>
        <v>0.15</v>
      </c>
    </row>
    <row r="29" spans="1:14" x14ac:dyDescent="0.25">
      <c r="A29">
        <v>3</v>
      </c>
      <c r="B29" t="s">
        <v>99</v>
      </c>
      <c r="C29" s="5"/>
      <c r="D29" s="5">
        <v>0</v>
      </c>
      <c r="E29" s="5"/>
      <c r="F29" s="5"/>
      <c r="G29" s="5"/>
      <c r="H29" s="6">
        <f t="shared" si="8"/>
        <v>0</v>
      </c>
      <c r="J29" s="26">
        <f>'R&amp;D expenses'!C31</f>
        <v>0</v>
      </c>
      <c r="K29" s="26">
        <f>'Sales and marketing'!C30</f>
        <v>0</v>
      </c>
      <c r="L29" s="26">
        <f>'GA expenses'!C30</f>
        <v>0</v>
      </c>
      <c r="M29" s="26">
        <v>0.25</v>
      </c>
      <c r="N29" s="26">
        <f>SUM(J29:M29)</f>
        <v>0.25</v>
      </c>
    </row>
    <row r="30" spans="1:14" x14ac:dyDescent="0.25">
      <c r="A30">
        <v>4</v>
      </c>
      <c r="B30" t="s">
        <v>100</v>
      </c>
      <c r="C30" s="5"/>
      <c r="D30" s="5">
        <v>0</v>
      </c>
      <c r="E30" s="5"/>
      <c r="F30" s="5"/>
      <c r="G30" s="5"/>
      <c r="H30" s="6">
        <f t="shared" si="8"/>
        <v>0</v>
      </c>
      <c r="J30" s="26">
        <f>'R&amp;D expenses'!C32</f>
        <v>0</v>
      </c>
      <c r="K30" s="26">
        <f>'Sales and marketing'!C31</f>
        <v>0</v>
      </c>
      <c r="L30" s="26">
        <f>'GA expenses'!C31</f>
        <v>0</v>
      </c>
      <c r="M30" s="26">
        <v>0.25</v>
      </c>
      <c r="N30" s="26">
        <f>SUM(J30:M30)</f>
        <v>0.25</v>
      </c>
    </row>
    <row r="31" spans="1:14" x14ac:dyDescent="0.25">
      <c r="A31" s="12"/>
      <c r="B31" s="12"/>
      <c r="C31" s="11">
        <f>SUM(C27:C29)</f>
        <v>0</v>
      </c>
      <c r="D31" s="11">
        <f>SUM(D27:D30)</f>
        <v>174</v>
      </c>
      <c r="E31" s="11">
        <f t="shared" ref="E31:G31" si="9">SUM(E27:E29)</f>
        <v>0</v>
      </c>
      <c r="F31" s="11">
        <f t="shared" si="9"/>
        <v>0</v>
      </c>
      <c r="G31" s="11">
        <f t="shared" si="9"/>
        <v>532.47</v>
      </c>
      <c r="H31" s="11">
        <f>SUM(H27:H30)</f>
        <v>532.47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I23"/>
  <sheetViews>
    <sheetView workbookViewId="0">
      <selection sqref="A1:XFD1048576"/>
    </sheetView>
  </sheetViews>
  <sheetFormatPr defaultColWidth="11" defaultRowHeight="15.75" x14ac:dyDescent="0.25"/>
  <cols>
    <col min="1" max="1" width="19.125" bestFit="1" customWidth="1"/>
    <col min="2" max="6" width="8.5" bestFit="1" customWidth="1"/>
  </cols>
  <sheetData>
    <row r="4" spans="1:9" x14ac:dyDescent="0.25">
      <c r="A4" s="16"/>
      <c r="B4" s="17" t="s">
        <v>4</v>
      </c>
      <c r="C4" s="17" t="s">
        <v>5</v>
      </c>
      <c r="D4" s="17" t="s">
        <v>6</v>
      </c>
      <c r="E4" s="17" t="s">
        <v>7</v>
      </c>
      <c r="F4" s="17">
        <v>2021</v>
      </c>
    </row>
    <row r="5" spans="1:9" x14ac:dyDescent="0.25">
      <c r="A5" s="16"/>
      <c r="B5" s="18" t="s">
        <v>9</v>
      </c>
      <c r="C5" s="18" t="s">
        <v>9</v>
      </c>
      <c r="D5" s="18" t="s">
        <v>9</v>
      </c>
      <c r="E5" s="18" t="s">
        <v>9</v>
      </c>
      <c r="F5" s="18" t="s">
        <v>9</v>
      </c>
    </row>
    <row r="6" spans="1:9" x14ac:dyDescent="0.25">
      <c r="B6" s="7"/>
      <c r="C6" s="7"/>
      <c r="D6" s="7"/>
      <c r="E6" s="7"/>
      <c r="F6" s="7"/>
    </row>
    <row r="7" spans="1:9" s="8" customFormat="1" x14ac:dyDescent="0.25">
      <c r="A7" s="8" t="s">
        <v>0</v>
      </c>
      <c r="B7" s="6"/>
      <c r="C7" s="6"/>
      <c r="D7" s="6"/>
      <c r="E7" s="6"/>
      <c r="F7" s="6"/>
      <c r="G7" s="6"/>
      <c r="H7" s="6"/>
      <c r="I7" s="6"/>
    </row>
    <row r="8" spans="1:9" x14ac:dyDescent="0.25">
      <c r="A8" s="2" t="s">
        <v>3</v>
      </c>
      <c r="B8" s="5">
        <v>80</v>
      </c>
      <c r="C8" s="5">
        <f>50/3</f>
        <v>16.666666666666668</v>
      </c>
      <c r="D8" s="5">
        <f>50/3</f>
        <v>16.666666666666668</v>
      </c>
      <c r="E8" s="5">
        <f>50/3</f>
        <v>16.666666666666668</v>
      </c>
      <c r="F8" s="6">
        <f>SUM(B8:E8)</f>
        <v>130</v>
      </c>
      <c r="G8" s="5"/>
      <c r="H8" s="5"/>
      <c r="I8" s="5"/>
    </row>
    <row r="9" spans="1:9" x14ac:dyDescent="0.25">
      <c r="A9" t="s">
        <v>10</v>
      </c>
      <c r="B9" s="5">
        <v>0</v>
      </c>
      <c r="C9" s="5">
        <v>34</v>
      </c>
      <c r="D9" s="5">
        <v>0</v>
      </c>
      <c r="E9" s="5">
        <v>40</v>
      </c>
      <c r="F9" s="6">
        <f>SUM(B9:E9)</f>
        <v>74</v>
      </c>
      <c r="G9" s="5"/>
      <c r="H9" s="5"/>
      <c r="I9" s="5"/>
    </row>
    <row r="10" spans="1:9" x14ac:dyDescent="0.25">
      <c r="A10" s="9"/>
      <c r="B10" s="11">
        <f>SUM(B8:B9)</f>
        <v>80</v>
      </c>
      <c r="C10" s="11">
        <f t="shared" ref="C10:F10" si="0">SUM(C8:C9)</f>
        <v>50.666666666666671</v>
      </c>
      <c r="D10" s="11">
        <f t="shared" si="0"/>
        <v>16.666666666666668</v>
      </c>
      <c r="E10" s="11">
        <f t="shared" si="0"/>
        <v>56.666666666666671</v>
      </c>
      <c r="F10" s="11">
        <f t="shared" si="0"/>
        <v>204</v>
      </c>
      <c r="G10" s="5"/>
      <c r="H10" s="5"/>
      <c r="I10" s="5"/>
    </row>
    <row r="11" spans="1:9" x14ac:dyDescent="0.25">
      <c r="B11" s="5"/>
      <c r="C11" s="5"/>
      <c r="D11" s="5"/>
      <c r="E11" s="5"/>
      <c r="F11" s="6"/>
      <c r="G11" s="5"/>
      <c r="H11" s="5"/>
      <c r="I11" s="5"/>
    </row>
    <row r="12" spans="1:9" s="8" customFormat="1" x14ac:dyDescent="0.25">
      <c r="A12" s="8" t="s">
        <v>1</v>
      </c>
      <c r="B12" s="6"/>
      <c r="C12" s="6"/>
      <c r="D12" s="6"/>
      <c r="E12" s="6"/>
      <c r="F12" s="6"/>
      <c r="G12" s="6"/>
      <c r="H12" s="6"/>
      <c r="I12" s="6"/>
    </row>
    <row r="13" spans="1:9" x14ac:dyDescent="0.25">
      <c r="A13" t="s">
        <v>8</v>
      </c>
      <c r="B13" s="5">
        <v>170</v>
      </c>
      <c r="C13" s="5">
        <v>300</v>
      </c>
      <c r="D13" s="5">
        <v>300</v>
      </c>
      <c r="E13" s="5">
        <v>300</v>
      </c>
      <c r="F13" s="6">
        <f>SUM(B13:E13)</f>
        <v>1070</v>
      </c>
      <c r="G13" s="5"/>
      <c r="H13" s="5"/>
      <c r="I13" s="5"/>
    </row>
    <row r="14" spans="1:9" x14ac:dyDescent="0.25">
      <c r="A14" s="12"/>
      <c r="B14" s="11">
        <f>SUM(B13)</f>
        <v>170</v>
      </c>
      <c r="C14" s="11">
        <f t="shared" ref="C14:F14" si="1">SUM(C13)</f>
        <v>300</v>
      </c>
      <c r="D14" s="11">
        <f t="shared" si="1"/>
        <v>300</v>
      </c>
      <c r="E14" s="11">
        <f t="shared" si="1"/>
        <v>300</v>
      </c>
      <c r="F14" s="11">
        <f t="shared" si="1"/>
        <v>1070</v>
      </c>
      <c r="G14" s="5"/>
      <c r="H14" s="5"/>
      <c r="I14" s="5"/>
    </row>
    <row r="15" spans="1:9" x14ac:dyDescent="0.25">
      <c r="B15" s="5"/>
      <c r="C15" s="5"/>
      <c r="D15" s="5"/>
      <c r="E15" s="5"/>
      <c r="F15" s="6"/>
      <c r="G15" s="5"/>
      <c r="H15" s="5"/>
      <c r="I15" s="5"/>
    </row>
    <row r="16" spans="1:9" s="8" customFormat="1" x14ac:dyDescent="0.25">
      <c r="A16" s="8" t="s">
        <v>2</v>
      </c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t="s">
        <v>11</v>
      </c>
      <c r="B17" s="5">
        <v>0</v>
      </c>
      <c r="C17" s="5">
        <v>0</v>
      </c>
      <c r="D17" s="5">
        <v>0</v>
      </c>
      <c r="E17" s="5">
        <v>40</v>
      </c>
      <c r="F17" s="6">
        <f>SUM(B17:E17)</f>
        <v>40</v>
      </c>
      <c r="G17" s="5"/>
      <c r="H17" s="5"/>
      <c r="I17" s="5"/>
    </row>
    <row r="18" spans="1:9" x14ac:dyDescent="0.25">
      <c r="A18" s="12"/>
      <c r="B18" s="11">
        <f>SUM(B17)</f>
        <v>0</v>
      </c>
      <c r="C18" s="11">
        <f t="shared" ref="C18:F18" si="2">SUM(C17)</f>
        <v>0</v>
      </c>
      <c r="D18" s="11">
        <f t="shared" si="2"/>
        <v>0</v>
      </c>
      <c r="E18" s="11">
        <f t="shared" si="2"/>
        <v>40</v>
      </c>
      <c r="F18" s="11">
        <f t="shared" si="2"/>
        <v>40</v>
      </c>
      <c r="G18" s="5"/>
      <c r="H18" s="5"/>
      <c r="I18" s="5"/>
    </row>
    <row r="19" spans="1:9" ht="16.5" thickBot="1" x14ac:dyDescent="0.3">
      <c r="A19" s="13"/>
      <c r="B19" s="14">
        <f>B10+B14+B18</f>
        <v>250</v>
      </c>
      <c r="C19" s="14">
        <f t="shared" ref="C19:F19" si="3">C10+C14+C18</f>
        <v>350.66666666666669</v>
      </c>
      <c r="D19" s="14">
        <f t="shared" si="3"/>
        <v>316.66666666666669</v>
      </c>
      <c r="E19" s="14">
        <f t="shared" si="3"/>
        <v>396.66666666666669</v>
      </c>
      <c r="F19" s="14">
        <f t="shared" si="3"/>
        <v>1314</v>
      </c>
      <c r="G19" s="5"/>
      <c r="H19" s="5"/>
      <c r="I19" s="5"/>
    </row>
    <row r="20" spans="1:9" ht="16.5" thickTop="1" x14ac:dyDescent="0.25">
      <c r="B20" s="5"/>
      <c r="C20" s="5"/>
      <c r="D20" s="5"/>
      <c r="E20" s="5"/>
      <c r="F20" s="6"/>
      <c r="G20" s="5"/>
      <c r="H20" s="5"/>
      <c r="I20" s="5"/>
    </row>
    <row r="21" spans="1:9" x14ac:dyDescent="0.25">
      <c r="B21" s="5"/>
      <c r="C21" s="5"/>
      <c r="D21" s="5"/>
      <c r="E21" s="5"/>
      <c r="F21" s="6"/>
      <c r="G21" s="5"/>
      <c r="H21" s="5"/>
      <c r="I21" s="5"/>
    </row>
    <row r="22" spans="1:9" x14ac:dyDescent="0.25">
      <c r="B22" s="5"/>
      <c r="C22" s="5"/>
      <c r="D22" s="5"/>
      <c r="E22" s="5"/>
      <c r="F22" s="6"/>
      <c r="G22" s="5"/>
      <c r="H22" s="5"/>
      <c r="I22" s="5"/>
    </row>
    <row r="23" spans="1:9" x14ac:dyDescent="0.25">
      <c r="B23" s="5"/>
      <c r="C23" s="5"/>
      <c r="D23" s="5"/>
      <c r="E23" s="5"/>
      <c r="F23" s="6"/>
      <c r="G23" s="5"/>
      <c r="H23" s="5"/>
      <c r="I23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M10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37.5" bestFit="1" customWidth="1"/>
    <col min="3" max="3" width="8.625" bestFit="1" customWidth="1"/>
    <col min="4" max="8" width="8.5" bestFit="1" customWidth="1"/>
    <col min="9" max="9" width="3.375" customWidth="1"/>
    <col min="10" max="10" width="5" bestFit="1" customWidth="1"/>
    <col min="11" max="11" width="5.125" bestFit="1" customWidth="1"/>
    <col min="12" max="12" width="5.5" bestFit="1" customWidth="1"/>
    <col min="13" max="13" width="5.375" bestFit="1" customWidth="1"/>
  </cols>
  <sheetData>
    <row r="3" spans="1:13" x14ac:dyDescent="0.25">
      <c r="A3" s="16"/>
      <c r="B3" s="16"/>
      <c r="C3" s="17" t="s">
        <v>87</v>
      </c>
      <c r="D3" s="17" t="s">
        <v>4</v>
      </c>
      <c r="E3" s="17" t="s">
        <v>5</v>
      </c>
      <c r="F3" s="17" t="s">
        <v>6</v>
      </c>
      <c r="G3" s="17" t="s">
        <v>7</v>
      </c>
      <c r="H3" s="17">
        <v>2021</v>
      </c>
      <c r="J3" s="17" t="s">
        <v>88</v>
      </c>
      <c r="K3" s="17" t="s">
        <v>89</v>
      </c>
      <c r="L3" s="17" t="s">
        <v>90</v>
      </c>
      <c r="M3" s="17" t="s">
        <v>91</v>
      </c>
    </row>
    <row r="4" spans="1:13" x14ac:dyDescent="0.25">
      <c r="A4" s="16"/>
      <c r="B4" s="16"/>
      <c r="C4" s="16"/>
      <c r="D4" s="18" t="s">
        <v>9</v>
      </c>
      <c r="E4" s="18" t="s">
        <v>9</v>
      </c>
      <c r="F4" s="18" t="s">
        <v>9</v>
      </c>
      <c r="G4" s="18" t="s">
        <v>9</v>
      </c>
      <c r="H4" s="18" t="s">
        <v>9</v>
      </c>
      <c r="J4" s="20" t="s">
        <v>86</v>
      </c>
      <c r="K4" s="20" t="s">
        <v>86</v>
      </c>
      <c r="L4" s="20" t="s">
        <v>86</v>
      </c>
      <c r="M4" s="20" t="s">
        <v>86</v>
      </c>
    </row>
    <row r="6" spans="1:13" x14ac:dyDescent="0.25">
      <c r="A6">
        <v>1</v>
      </c>
      <c r="B6" t="s">
        <v>55</v>
      </c>
      <c r="C6" s="26">
        <f>1-M6</f>
        <v>0.62</v>
      </c>
      <c r="D6" s="5">
        <f>C6*Expenses!C8</f>
        <v>39.68</v>
      </c>
      <c r="E6" s="5">
        <f>$C$6*Expenses!D8</f>
        <v>70.679999999999993</v>
      </c>
      <c r="F6" s="5">
        <f>$C$6*Expenses!E8</f>
        <v>70.679999999999993</v>
      </c>
      <c r="G6" s="5">
        <f>$C$6*Expenses!F8</f>
        <v>70.679999999999993</v>
      </c>
      <c r="H6" s="6">
        <f>SUM(D6:G6)</f>
        <v>251.71999999999997</v>
      </c>
      <c r="J6" s="26">
        <f>'R&amp;D expenses'!C8</f>
        <v>0.25</v>
      </c>
      <c r="K6" s="26">
        <f>'Sales and marketing'!C7</f>
        <v>0.08</v>
      </c>
      <c r="L6" s="26">
        <f>'GA expenses'!C7</f>
        <v>0.05</v>
      </c>
      <c r="M6" s="26">
        <f>SUM(J6:L6)</f>
        <v>0.38</v>
      </c>
    </row>
    <row r="7" spans="1:13" x14ac:dyDescent="0.25">
      <c r="A7">
        <v>2</v>
      </c>
      <c r="B7" t="s">
        <v>56</v>
      </c>
      <c r="C7" s="26">
        <f>1-M7</f>
        <v>0.7</v>
      </c>
      <c r="D7" s="5">
        <f>$C$7*Expenses!C15</f>
        <v>23.799999999999997</v>
      </c>
      <c r="E7" s="5">
        <f>$C$7*Expenses!D15</f>
        <v>23.799999999999997</v>
      </c>
      <c r="F7" s="5">
        <f>$C$7*Expenses!E15</f>
        <v>42.42</v>
      </c>
      <c r="G7" s="5">
        <f>$C$7*Expenses!F15</f>
        <v>98.061187000000004</v>
      </c>
      <c r="H7" s="6">
        <f t="shared" ref="H7:H9" si="0">SUM(D7:G7)</f>
        <v>188.081187</v>
      </c>
      <c r="J7" s="26">
        <f>'R&amp;D expenses'!C9</f>
        <v>0.15</v>
      </c>
      <c r="K7" s="26">
        <f>'Sales and marketing'!C8</f>
        <v>0.05</v>
      </c>
      <c r="L7" s="26">
        <f>'GA expenses'!C8</f>
        <v>0.1</v>
      </c>
      <c r="M7" s="26">
        <f>SUM(J7:L7)</f>
        <v>0.30000000000000004</v>
      </c>
    </row>
    <row r="8" spans="1:13" x14ac:dyDescent="0.25">
      <c r="A8">
        <v>4</v>
      </c>
      <c r="B8" t="s">
        <v>16</v>
      </c>
      <c r="C8" s="26">
        <f>1-M8</f>
        <v>0.85</v>
      </c>
      <c r="D8" s="5">
        <f>$C$8*Expenses!C20</f>
        <v>7.7996254681647934E-2</v>
      </c>
      <c r="E8" s="5">
        <f>$C$8*Expenses!D20</f>
        <v>16.334246254681645</v>
      </c>
      <c r="F8" s="5">
        <f>$C$8*Expenses!E20</f>
        <v>37.106121254681646</v>
      </c>
      <c r="G8" s="5">
        <f>$C$8*Expenses!F20</f>
        <v>49.544534176029963</v>
      </c>
      <c r="H8" s="6">
        <f t="shared" si="0"/>
        <v>103.06289794007489</v>
      </c>
      <c r="J8" s="26">
        <f>'R&amp;D expenses'!C10</f>
        <v>0.1</v>
      </c>
      <c r="K8" s="26">
        <f>'Sales and marketing'!C9</f>
        <v>0</v>
      </c>
      <c r="L8" s="26">
        <f>'GA expenses'!C9</f>
        <v>0.05</v>
      </c>
      <c r="M8" s="26">
        <f>SUM(J8:L8)</f>
        <v>0.15000000000000002</v>
      </c>
    </row>
    <row r="9" spans="1:13" x14ac:dyDescent="0.25">
      <c r="A9">
        <v>5</v>
      </c>
      <c r="B9" t="s">
        <v>57</v>
      </c>
      <c r="C9" s="26">
        <f>1-M9</f>
        <v>0.75</v>
      </c>
      <c r="D9" s="5">
        <f>$C$9*Expenses!C25</f>
        <v>7.5</v>
      </c>
      <c r="E9" s="5">
        <f>$C$9*Expenses!D25</f>
        <v>53.864999999999995</v>
      </c>
      <c r="F9" s="5">
        <f>$C$9*Expenses!E25</f>
        <v>54.269999999999996</v>
      </c>
      <c r="G9" s="5">
        <f>$C$9*Expenses!F25</f>
        <v>54.269999999999996</v>
      </c>
      <c r="H9" s="6">
        <f t="shared" si="0"/>
        <v>169.90499999999997</v>
      </c>
      <c r="J9" s="26">
        <f>'R&amp;D expenses'!C11</f>
        <v>0.1</v>
      </c>
      <c r="K9" s="26">
        <f>'Sales and marketing'!C10</f>
        <v>0.05</v>
      </c>
      <c r="L9" s="26">
        <f>'GA expenses'!C10</f>
        <v>0.1</v>
      </c>
      <c r="M9" s="26">
        <f>SUM(J9:L9)</f>
        <v>0.25</v>
      </c>
    </row>
    <row r="10" spans="1:13" x14ac:dyDescent="0.25">
      <c r="A10" s="12"/>
      <c r="B10" s="12"/>
      <c r="C10" s="12"/>
      <c r="D10" s="11">
        <f>SUM(D6:D9)</f>
        <v>71.057996254681655</v>
      </c>
      <c r="E10" s="11">
        <f t="shared" ref="E10:H10" si="1">SUM(E6:E9)</f>
        <v>164.67924625468163</v>
      </c>
      <c r="F10" s="11">
        <f t="shared" si="1"/>
        <v>204.47612125468163</v>
      </c>
      <c r="G10" s="11">
        <f t="shared" si="1"/>
        <v>272.55572117602998</v>
      </c>
      <c r="H10" s="11">
        <f t="shared" si="1"/>
        <v>712.76908494007489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M10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37.5" bestFit="1" customWidth="1"/>
    <col min="3" max="3" width="8.625" bestFit="1" customWidth="1"/>
    <col min="4" max="8" width="8.5" bestFit="1" customWidth="1"/>
    <col min="9" max="9" width="3.375" customWidth="1"/>
    <col min="10" max="10" width="5" bestFit="1" customWidth="1"/>
    <col min="11" max="11" width="5.125" bestFit="1" customWidth="1"/>
    <col min="12" max="12" width="5.5" bestFit="1" customWidth="1"/>
    <col min="13" max="13" width="5.375" bestFit="1" customWidth="1"/>
  </cols>
  <sheetData>
    <row r="3" spans="1:13" x14ac:dyDescent="0.25">
      <c r="A3" s="16"/>
      <c r="B3" s="16"/>
      <c r="C3" s="17" t="s">
        <v>87</v>
      </c>
      <c r="D3" s="17" t="s">
        <v>4</v>
      </c>
      <c r="E3" s="17" t="s">
        <v>5</v>
      </c>
      <c r="F3" s="17" t="s">
        <v>6</v>
      </c>
      <c r="G3" s="17" t="s">
        <v>7</v>
      </c>
      <c r="H3" s="17">
        <v>2021</v>
      </c>
      <c r="J3" s="17" t="s">
        <v>88</v>
      </c>
      <c r="K3" s="17" t="s">
        <v>89</v>
      </c>
      <c r="L3" s="17" t="s">
        <v>90</v>
      </c>
      <c r="M3" s="17" t="s">
        <v>91</v>
      </c>
    </row>
    <row r="4" spans="1:13" x14ac:dyDescent="0.25">
      <c r="A4" s="16"/>
      <c r="B4" s="16"/>
      <c r="C4" s="16"/>
      <c r="D4" s="18" t="s">
        <v>9</v>
      </c>
      <c r="E4" s="18" t="s">
        <v>9</v>
      </c>
      <c r="F4" s="18" t="s">
        <v>9</v>
      </c>
      <c r="G4" s="18" t="s">
        <v>9</v>
      </c>
      <c r="H4" s="18" t="s">
        <v>9</v>
      </c>
      <c r="J4" s="20" t="s">
        <v>86</v>
      </c>
      <c r="K4" s="20" t="s">
        <v>86</v>
      </c>
      <c r="L4" s="20" t="s">
        <v>86</v>
      </c>
      <c r="M4" s="20" t="s">
        <v>86</v>
      </c>
    </row>
    <row r="6" spans="1:13" x14ac:dyDescent="0.25">
      <c r="A6">
        <v>1</v>
      </c>
      <c r="B6" t="s">
        <v>55</v>
      </c>
      <c r="C6" s="26">
        <f>1-M6</f>
        <v>0.5</v>
      </c>
      <c r="D6" s="5">
        <f>$C$6*Expenses!C8</f>
        <v>32</v>
      </c>
      <c r="E6" s="5">
        <f>$C$6*Expenses!D8</f>
        <v>57</v>
      </c>
      <c r="F6" s="5">
        <f>$C$6*Expenses!E8</f>
        <v>57</v>
      </c>
      <c r="G6" s="5">
        <f>$C$6*Expenses!F8</f>
        <v>57</v>
      </c>
      <c r="H6" s="5">
        <f>SUM(C6:G6)</f>
        <v>203.5</v>
      </c>
      <c r="J6" s="26">
        <v>0.35</v>
      </c>
      <c r="K6" s="26">
        <v>0.1</v>
      </c>
      <c r="L6" s="26">
        <f>'GA expenses'!C7</f>
        <v>0.05</v>
      </c>
      <c r="M6" s="26">
        <f>SUM(J6:L6)</f>
        <v>0.49999999999999994</v>
      </c>
    </row>
    <row r="7" spans="1:13" x14ac:dyDescent="0.25">
      <c r="A7">
        <v>2</v>
      </c>
      <c r="B7" t="s">
        <v>56</v>
      </c>
      <c r="C7" s="26">
        <f t="shared" ref="C7:C9" si="0">1-M7</f>
        <v>0.42999999999999994</v>
      </c>
      <c r="D7" s="5">
        <f>$C$7*Expenses!C15</f>
        <v>14.619999999999997</v>
      </c>
      <c r="E7" s="5">
        <f>$C$7*Expenses!D15</f>
        <v>14.619999999999997</v>
      </c>
      <c r="F7" s="5">
        <f>$C$7*Expenses!E15</f>
        <v>26.057999999999996</v>
      </c>
      <c r="G7" s="5">
        <f>$C$7*Expenses!F15</f>
        <v>60.237586299999997</v>
      </c>
      <c r="H7" s="5">
        <f t="shared" ref="H7:H9" si="1">SUM(C7:G7)</f>
        <v>115.96558629999998</v>
      </c>
      <c r="J7" s="26">
        <v>0.27</v>
      </c>
      <c r="K7" s="26">
        <v>0.15</v>
      </c>
      <c r="L7" s="26">
        <v>0.15</v>
      </c>
      <c r="M7" s="26">
        <f>SUM(J7:L7)</f>
        <v>0.57000000000000006</v>
      </c>
    </row>
    <row r="8" spans="1:13" x14ac:dyDescent="0.25">
      <c r="A8">
        <v>4</v>
      </c>
      <c r="B8" t="s">
        <v>16</v>
      </c>
      <c r="C8" s="26">
        <f t="shared" si="0"/>
        <v>0.55000000000000004</v>
      </c>
      <c r="D8" s="5">
        <f>$C$8*Expenses!C20</f>
        <v>5.0468164794007495E-2</v>
      </c>
      <c r="E8" s="5">
        <f>$C$8*Expenses!D20</f>
        <v>10.569218164794007</v>
      </c>
      <c r="F8" s="5">
        <f>$C$8*Expenses!E20</f>
        <v>24.00984316479401</v>
      </c>
      <c r="G8" s="5">
        <f>$C$8*Expenses!F20</f>
        <v>32.058227996254686</v>
      </c>
      <c r="H8" s="5">
        <f t="shared" si="1"/>
        <v>67.23775749063671</v>
      </c>
      <c r="J8" s="26">
        <v>0.25</v>
      </c>
      <c r="K8" s="26">
        <v>0.1</v>
      </c>
      <c r="L8" s="26">
        <v>0.1</v>
      </c>
      <c r="M8" s="26">
        <f>SUM(J8:L8)</f>
        <v>0.44999999999999996</v>
      </c>
    </row>
    <row r="9" spans="1:13" x14ac:dyDescent="0.25">
      <c r="A9">
        <v>5</v>
      </c>
      <c r="B9" t="s">
        <v>57</v>
      </c>
      <c r="C9" s="26">
        <f t="shared" si="0"/>
        <v>0.65</v>
      </c>
      <c r="D9" s="5">
        <f>$C$9*Expenses!C25</f>
        <v>6.5</v>
      </c>
      <c r="E9" s="5">
        <f>$C$9*Expenses!D25</f>
        <v>46.683</v>
      </c>
      <c r="F9" s="5">
        <f>$C$9*Expenses!E25</f>
        <v>47.033999999999999</v>
      </c>
      <c r="G9" s="5">
        <f>$C$9*Expenses!F25</f>
        <v>47.033999999999999</v>
      </c>
      <c r="H9" s="5">
        <f t="shared" si="1"/>
        <v>147.90099999999998</v>
      </c>
      <c r="J9" s="26">
        <v>0.2</v>
      </c>
      <c r="K9" s="26">
        <f>'Sales and marketing'!C10</f>
        <v>0.05</v>
      </c>
      <c r="L9" s="26">
        <f>'GA expenses'!C10</f>
        <v>0.1</v>
      </c>
      <c r="M9" s="26">
        <f>SUM(J9:L9)</f>
        <v>0.35</v>
      </c>
    </row>
    <row r="10" spans="1:13" x14ac:dyDescent="0.25">
      <c r="A10" s="12"/>
      <c r="B10" s="12"/>
      <c r="C10" s="12"/>
      <c r="D10" s="11">
        <f>SUM(D6:D9)</f>
        <v>53.170468164794002</v>
      </c>
      <c r="E10" s="11">
        <f>SUM(E6:E9)</f>
        <v>128.87221816479402</v>
      </c>
      <c r="F10" s="11">
        <f>SUM(F6:F9)</f>
        <v>154.10184316479399</v>
      </c>
      <c r="G10" s="11">
        <f>SUM(G6:G9)</f>
        <v>196.32981429625468</v>
      </c>
      <c r="H10" s="11">
        <f>SUM(H6:H9)</f>
        <v>534.60434379063668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5:H15"/>
  <sheetViews>
    <sheetView topLeftCell="A2" workbookViewId="0">
      <selection activeCell="A2" sqref="A1:XFD1048576"/>
    </sheetView>
  </sheetViews>
  <sheetFormatPr defaultColWidth="11" defaultRowHeight="15.75" x14ac:dyDescent="0.25"/>
  <cols>
    <col min="1" max="1" width="2.125" bestFit="1" customWidth="1"/>
    <col min="2" max="2" width="37.5" bestFit="1" customWidth="1"/>
    <col min="3" max="3" width="9" bestFit="1" customWidth="1"/>
    <col min="4" max="8" width="8.5" bestFit="1" customWidth="1"/>
  </cols>
  <sheetData>
    <row r="5" spans="1:8" x14ac:dyDescent="0.25">
      <c r="A5" s="16"/>
      <c r="B5" s="16"/>
      <c r="C5" s="17" t="s">
        <v>85</v>
      </c>
      <c r="D5" s="17" t="s">
        <v>4</v>
      </c>
      <c r="E5" s="17" t="s">
        <v>5</v>
      </c>
      <c r="F5" s="17" t="s">
        <v>6</v>
      </c>
      <c r="G5" s="17" t="s">
        <v>7</v>
      </c>
      <c r="H5" s="17">
        <v>2021</v>
      </c>
    </row>
    <row r="6" spans="1:8" x14ac:dyDescent="0.25">
      <c r="A6" s="16"/>
      <c r="B6" s="16"/>
      <c r="C6" s="20" t="s">
        <v>86</v>
      </c>
      <c r="D6" s="18" t="s">
        <v>9</v>
      </c>
      <c r="E6" s="18" t="s">
        <v>9</v>
      </c>
      <c r="F6" s="18" t="s">
        <v>9</v>
      </c>
      <c r="G6" s="18" t="s">
        <v>9</v>
      </c>
      <c r="H6" s="18" t="s">
        <v>9</v>
      </c>
    </row>
    <row r="8" spans="1:8" x14ac:dyDescent="0.25">
      <c r="A8">
        <v>1</v>
      </c>
      <c r="B8" t="s">
        <v>55</v>
      </c>
      <c r="C8" s="26">
        <v>0.25</v>
      </c>
      <c r="D8" s="5">
        <f>$C$8*Expenses!C8</f>
        <v>16</v>
      </c>
      <c r="E8" s="5">
        <f>$C$8*Expenses!D8</f>
        <v>28.5</v>
      </c>
      <c r="F8" s="5">
        <f>$C$8*Expenses!E8</f>
        <v>28.5</v>
      </c>
      <c r="G8" s="5">
        <f>$C$8*Expenses!F8</f>
        <v>28.5</v>
      </c>
      <c r="H8" s="6">
        <f>SUM(C8:G8)</f>
        <v>101.75</v>
      </c>
    </row>
    <row r="9" spans="1:8" x14ac:dyDescent="0.25">
      <c r="A9">
        <v>2</v>
      </c>
      <c r="B9" t="s">
        <v>92</v>
      </c>
      <c r="C9" s="26">
        <v>0.15</v>
      </c>
      <c r="D9" s="5">
        <f>$C$9*Expenses!C15</f>
        <v>5.0999999999999996</v>
      </c>
      <c r="E9" s="5">
        <f>$C$9*Expenses!D15</f>
        <v>5.0999999999999996</v>
      </c>
      <c r="F9" s="5">
        <f>$C$9*Expenses!E15</f>
        <v>9.09</v>
      </c>
      <c r="G9" s="5">
        <f>$C$9*Expenses!F15</f>
        <v>21.013111500000001</v>
      </c>
      <c r="H9" s="6">
        <f t="shared" ref="H9:H11" si="0">SUM(C9:G9)</f>
        <v>40.453111499999999</v>
      </c>
    </row>
    <row r="10" spans="1:8" x14ac:dyDescent="0.25">
      <c r="A10">
        <v>4</v>
      </c>
      <c r="B10" t="s">
        <v>16</v>
      </c>
      <c r="C10" s="26">
        <v>0.1</v>
      </c>
      <c r="D10" s="5">
        <f>$C$10*Expenses!C20</f>
        <v>9.176029962546817E-3</v>
      </c>
      <c r="E10" s="5">
        <f>$C$10*Expenses!D20</f>
        <v>1.9216760299625468</v>
      </c>
      <c r="F10" s="5">
        <f>$C$10*Expenses!E20</f>
        <v>4.3654260299625474</v>
      </c>
      <c r="G10" s="5">
        <f>$C$10*Expenses!F20</f>
        <v>5.8287687265917612</v>
      </c>
      <c r="H10" s="6">
        <f t="shared" si="0"/>
        <v>12.225046816479402</v>
      </c>
    </row>
    <row r="11" spans="1:8" x14ac:dyDescent="0.25">
      <c r="A11">
        <v>5</v>
      </c>
      <c r="B11" t="s">
        <v>57</v>
      </c>
      <c r="C11" s="26">
        <v>0.1</v>
      </c>
      <c r="D11" s="5">
        <f>$C$11*Expenses!C25</f>
        <v>1</v>
      </c>
      <c r="E11" s="5">
        <f>$C$11*Expenses!D25</f>
        <v>7.1819999999999995</v>
      </c>
      <c r="F11" s="5">
        <f>$C$11*Expenses!E25</f>
        <v>7.2360000000000007</v>
      </c>
      <c r="G11" s="5">
        <f>$C$11*Expenses!F25</f>
        <v>7.2360000000000007</v>
      </c>
      <c r="H11" s="6">
        <f t="shared" si="0"/>
        <v>22.754000000000001</v>
      </c>
    </row>
    <row r="12" spans="1:8" x14ac:dyDescent="0.25">
      <c r="A12" s="12"/>
      <c r="B12" s="12"/>
      <c r="C12" s="12"/>
      <c r="D12" s="11">
        <f>SUM(D8:D11)</f>
        <v>22.109176029962548</v>
      </c>
      <c r="E12" s="11">
        <f t="shared" ref="E12:H12" si="1">SUM(E8:E11)</f>
        <v>42.703676029962551</v>
      </c>
      <c r="F12" s="11">
        <f t="shared" si="1"/>
        <v>49.191426029962557</v>
      </c>
      <c r="G12" s="11">
        <f t="shared" si="1"/>
        <v>62.577880226591759</v>
      </c>
      <c r="H12" s="11">
        <f t="shared" si="1"/>
        <v>177.18215831647939</v>
      </c>
    </row>
    <row r="13" spans="1:8" x14ac:dyDescent="0.25">
      <c r="D13" s="5"/>
      <c r="E13" s="5"/>
      <c r="F13" s="5"/>
      <c r="G13" s="5"/>
      <c r="H13" s="5"/>
    </row>
    <row r="14" spans="1:8" x14ac:dyDescent="0.25">
      <c r="D14" s="5"/>
      <c r="E14" s="5"/>
      <c r="F14" s="5"/>
      <c r="G14" s="5"/>
      <c r="H14" s="5"/>
    </row>
    <row r="15" spans="1:8" x14ac:dyDescent="0.25">
      <c r="D15" s="5"/>
      <c r="E15" s="5"/>
      <c r="F15" s="5"/>
      <c r="G15" s="5"/>
      <c r="H15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4:H13"/>
  <sheetViews>
    <sheetView workbookViewId="0">
      <selection activeCell="C9" sqref="C9"/>
    </sheetView>
  </sheetViews>
  <sheetFormatPr defaultColWidth="11" defaultRowHeight="15.75" x14ac:dyDescent="0.25"/>
  <cols>
    <col min="1" max="1" width="2.125" bestFit="1" customWidth="1"/>
    <col min="2" max="2" width="37.5" bestFit="1" customWidth="1"/>
    <col min="3" max="3" width="8.625" bestFit="1" customWidth="1"/>
    <col min="4" max="8" width="8.5" bestFit="1" customWidth="1"/>
  </cols>
  <sheetData>
    <row r="4" spans="1:8" x14ac:dyDescent="0.25">
      <c r="A4" s="16"/>
      <c r="B4" s="16"/>
      <c r="C4" s="17" t="s">
        <v>87</v>
      </c>
      <c r="D4" s="17" t="s">
        <v>4</v>
      </c>
      <c r="E4" s="17" t="s">
        <v>5</v>
      </c>
      <c r="F4" s="17" t="s">
        <v>6</v>
      </c>
      <c r="G4" s="17" t="s">
        <v>7</v>
      </c>
      <c r="H4" s="17">
        <v>2021</v>
      </c>
    </row>
    <row r="5" spans="1:8" x14ac:dyDescent="0.25">
      <c r="A5" s="16"/>
      <c r="B5" s="16"/>
      <c r="C5" s="20" t="s">
        <v>86</v>
      </c>
      <c r="D5" s="18" t="s">
        <v>9</v>
      </c>
      <c r="E5" s="18" t="s">
        <v>9</v>
      </c>
      <c r="F5" s="18" t="s">
        <v>9</v>
      </c>
      <c r="G5" s="18" t="s">
        <v>9</v>
      </c>
      <c r="H5" s="18" t="s">
        <v>9</v>
      </c>
    </row>
    <row r="7" spans="1:8" x14ac:dyDescent="0.25">
      <c r="A7">
        <v>1</v>
      </c>
      <c r="B7" t="s">
        <v>55</v>
      </c>
      <c r="C7" s="26">
        <v>0.08</v>
      </c>
      <c r="D7" s="5">
        <f>$C$7*Expenses!C8</f>
        <v>5.12</v>
      </c>
      <c r="E7" s="5">
        <f>$C$7*Expenses!D8</f>
        <v>9.120000000000001</v>
      </c>
      <c r="F7" s="5">
        <f>$C$7*Expenses!E8</f>
        <v>9.120000000000001</v>
      </c>
      <c r="G7" s="5">
        <f>$C$7*Expenses!F8</f>
        <v>9.120000000000001</v>
      </c>
      <c r="H7" s="6">
        <f>SUM(D7:G7)</f>
        <v>32.480000000000004</v>
      </c>
    </row>
    <row r="8" spans="1:8" x14ac:dyDescent="0.25">
      <c r="A8">
        <v>2</v>
      </c>
      <c r="B8" t="s">
        <v>56</v>
      </c>
      <c r="C8" s="26">
        <v>0.05</v>
      </c>
      <c r="D8" s="5">
        <f>$C$8*Expenses!C15</f>
        <v>1.7000000000000002</v>
      </c>
      <c r="E8" s="5">
        <f>$C$8*Expenses!D15</f>
        <v>1.7000000000000002</v>
      </c>
      <c r="F8" s="5">
        <f>$C$8*Expenses!E15</f>
        <v>3.0300000000000002</v>
      </c>
      <c r="G8" s="5">
        <f>$C$8*Expenses!F15</f>
        <v>7.0043705000000003</v>
      </c>
      <c r="H8" s="6">
        <f t="shared" ref="H8:H10" si="0">SUM(D8:G8)</f>
        <v>13.4343705</v>
      </c>
    </row>
    <row r="9" spans="1:8" x14ac:dyDescent="0.25">
      <c r="A9">
        <v>4</v>
      </c>
      <c r="B9" t="s">
        <v>16</v>
      </c>
      <c r="C9" s="26">
        <v>0</v>
      </c>
      <c r="D9" s="5">
        <f>$C$9*Expenses!C20</f>
        <v>0</v>
      </c>
      <c r="E9" s="5">
        <f>$C$9*Expenses!D20</f>
        <v>0</v>
      </c>
      <c r="F9" s="5">
        <f>$C$9*Expenses!E20</f>
        <v>0</v>
      </c>
      <c r="G9" s="5">
        <f>$C$9*Expenses!F20</f>
        <v>0</v>
      </c>
      <c r="H9" s="6">
        <f t="shared" si="0"/>
        <v>0</v>
      </c>
    </row>
    <row r="10" spans="1:8" x14ac:dyDescent="0.25">
      <c r="A10">
        <v>5</v>
      </c>
      <c r="B10" t="s">
        <v>57</v>
      </c>
      <c r="C10" s="26">
        <v>0.05</v>
      </c>
      <c r="D10" s="5">
        <f>$C$10*Expenses!C25</f>
        <v>0.5</v>
      </c>
      <c r="E10" s="5">
        <f>$C$10*Expenses!D25</f>
        <v>3.5909999999999997</v>
      </c>
      <c r="F10" s="5">
        <f>$C$10*Expenses!E25</f>
        <v>3.6180000000000003</v>
      </c>
      <c r="G10" s="5">
        <f>$C$10*Expenses!F25</f>
        <v>3.6180000000000003</v>
      </c>
      <c r="H10" s="6">
        <f t="shared" si="0"/>
        <v>11.327</v>
      </c>
    </row>
    <row r="11" spans="1:8" x14ac:dyDescent="0.25">
      <c r="A11" s="12"/>
      <c r="B11" s="12"/>
      <c r="C11" s="12"/>
      <c r="D11" s="11">
        <f>SUM(D7:D10)</f>
        <v>7.32</v>
      </c>
      <c r="E11" s="11">
        <f t="shared" ref="E11:H11" si="1">SUM(E7:E10)</f>
        <v>14.411</v>
      </c>
      <c r="F11" s="11">
        <f t="shared" si="1"/>
        <v>15.768000000000002</v>
      </c>
      <c r="G11" s="11">
        <f t="shared" si="1"/>
        <v>19.7423705</v>
      </c>
      <c r="H11" s="11">
        <f t="shared" si="1"/>
        <v>57.241370500000002</v>
      </c>
    </row>
    <row r="12" spans="1:8" x14ac:dyDescent="0.25">
      <c r="D12" s="5"/>
      <c r="E12" s="5"/>
      <c r="F12" s="5"/>
      <c r="G12" s="5"/>
      <c r="H12" s="5"/>
    </row>
    <row r="13" spans="1:8" x14ac:dyDescent="0.25">
      <c r="D13" s="5"/>
      <c r="E13" s="5"/>
      <c r="F13" s="5"/>
      <c r="G13" s="5"/>
      <c r="H1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6"/>
  <sheetViews>
    <sheetView workbookViewId="0">
      <selection activeCell="B26" sqref="B26"/>
    </sheetView>
  </sheetViews>
  <sheetFormatPr defaultColWidth="11" defaultRowHeight="15.75" x14ac:dyDescent="0.25"/>
  <cols>
    <col min="1" max="1" width="3.375" customWidth="1"/>
    <col min="2" max="2" width="36.625" bestFit="1" customWidth="1"/>
    <col min="3" max="7" width="8.5" bestFit="1" customWidth="1"/>
  </cols>
  <sheetData>
    <row r="3" spans="1:9" x14ac:dyDescent="0.25">
      <c r="A3" s="16"/>
      <c r="B3" s="16"/>
      <c r="C3" s="17" t="s">
        <v>4</v>
      </c>
      <c r="D3" s="17" t="s">
        <v>104</v>
      </c>
      <c r="E3" s="17" t="s">
        <v>105</v>
      </c>
      <c r="F3" s="17" t="s">
        <v>106</v>
      </c>
      <c r="G3" s="17" t="s">
        <v>107</v>
      </c>
    </row>
    <row r="4" spans="1:9" x14ac:dyDescent="0.25">
      <c r="A4" s="16"/>
      <c r="B4" s="16"/>
      <c r="C4" s="31" t="s">
        <v>9</v>
      </c>
      <c r="D4" s="31" t="s">
        <v>9</v>
      </c>
      <c r="E4" s="31" t="s">
        <v>9</v>
      </c>
      <c r="F4" s="31" t="s">
        <v>9</v>
      </c>
      <c r="G4" s="31" t="s">
        <v>9</v>
      </c>
    </row>
    <row r="7" spans="1:9" x14ac:dyDescent="0.25">
      <c r="B7" t="s">
        <v>39</v>
      </c>
      <c r="C7" s="5">
        <v>41</v>
      </c>
      <c r="D7" s="5">
        <f>Income!C10</f>
        <v>50.666666666666671</v>
      </c>
      <c r="E7" s="5">
        <f>Income!D10</f>
        <v>16.666666666666668</v>
      </c>
      <c r="F7" s="5">
        <f>Income!E10</f>
        <v>56.666666666666671</v>
      </c>
      <c r="G7" s="6">
        <f>SUM(C7:F7)</f>
        <v>165</v>
      </c>
      <c r="H7" s="5"/>
      <c r="I7" s="5"/>
    </row>
    <row r="8" spans="1:9" x14ac:dyDescent="0.25">
      <c r="B8" t="s">
        <v>43</v>
      </c>
      <c r="C8" s="5">
        <v>21</v>
      </c>
      <c r="D8" s="5">
        <v>25</v>
      </c>
      <c r="E8" s="5">
        <v>9</v>
      </c>
      <c r="F8" s="5">
        <v>28</v>
      </c>
      <c r="G8" s="6">
        <f>SUM(C8:F8)</f>
        <v>83</v>
      </c>
      <c r="H8" s="5"/>
      <c r="I8" s="5"/>
    </row>
    <row r="9" spans="1:9" x14ac:dyDescent="0.25">
      <c r="A9" s="12"/>
      <c r="B9" s="12"/>
      <c r="C9" s="11">
        <f>C7-C8</f>
        <v>20</v>
      </c>
      <c r="D9" s="11">
        <f t="shared" ref="D9:G9" si="0">D7-D8</f>
        <v>25.666666666666671</v>
      </c>
      <c r="E9" s="11">
        <f t="shared" si="0"/>
        <v>7.6666666666666679</v>
      </c>
      <c r="F9" s="11">
        <f t="shared" si="0"/>
        <v>28.666666666666671</v>
      </c>
      <c r="G9" s="11">
        <f t="shared" si="0"/>
        <v>82</v>
      </c>
      <c r="H9" s="5"/>
      <c r="I9" s="5"/>
    </row>
    <row r="10" spans="1:9" x14ac:dyDescent="0.25">
      <c r="C10" s="5"/>
      <c r="D10" s="5"/>
      <c r="E10" s="5"/>
      <c r="F10" s="5"/>
      <c r="G10" s="5"/>
      <c r="H10" s="5"/>
      <c r="I10" s="5"/>
    </row>
    <row r="11" spans="1:9" x14ac:dyDescent="0.25">
      <c r="B11" t="s">
        <v>40</v>
      </c>
      <c r="C11" s="5">
        <f>Income!B14</f>
        <v>170</v>
      </c>
      <c r="D11" s="5">
        <f>Income!C14</f>
        <v>300</v>
      </c>
      <c r="E11" s="5">
        <f>Income!D14</f>
        <v>300</v>
      </c>
      <c r="F11" s="5">
        <f>Income!E14</f>
        <v>300</v>
      </c>
      <c r="G11" s="6">
        <f>SUM(C11:F11)</f>
        <v>1070</v>
      </c>
      <c r="H11" s="5"/>
      <c r="I11" s="5"/>
    </row>
    <row r="12" spans="1:9" x14ac:dyDescent="0.25">
      <c r="B12" t="s">
        <v>41</v>
      </c>
      <c r="C12" s="5">
        <f>Expenses!C28</f>
        <v>93.500000000000014</v>
      </c>
      <c r="D12" s="5">
        <f>Expenses!D28</f>
        <v>165</v>
      </c>
      <c r="E12" s="5">
        <f>Expenses!E28</f>
        <v>165</v>
      </c>
      <c r="F12" s="5">
        <f>Expenses!F28</f>
        <v>165</v>
      </c>
      <c r="G12" s="6">
        <f>SUM(C12:F12)</f>
        <v>588.5</v>
      </c>
      <c r="H12" s="5"/>
      <c r="I12" s="5"/>
    </row>
    <row r="13" spans="1:9" x14ac:dyDescent="0.25">
      <c r="A13" s="12"/>
      <c r="B13" s="12"/>
      <c r="C13" s="11">
        <f>C11-C12</f>
        <v>76.499999999999986</v>
      </c>
      <c r="D13" s="11">
        <f t="shared" ref="D13:F13" si="1">D11-D12</f>
        <v>135</v>
      </c>
      <c r="E13" s="11">
        <f t="shared" si="1"/>
        <v>135</v>
      </c>
      <c r="F13" s="11">
        <f t="shared" si="1"/>
        <v>135</v>
      </c>
      <c r="G13" s="11">
        <f>G11-G12</f>
        <v>481.5</v>
      </c>
      <c r="H13" s="5"/>
      <c r="I13" s="5"/>
    </row>
    <row r="14" spans="1:9" x14ac:dyDescent="0.25">
      <c r="C14" s="5"/>
      <c r="D14" s="5"/>
      <c r="E14" s="5"/>
      <c r="F14" s="5"/>
      <c r="G14" s="5"/>
      <c r="H14" s="5"/>
      <c r="I14" s="5"/>
    </row>
    <row r="15" spans="1:9" x14ac:dyDescent="0.25">
      <c r="A15" s="22"/>
      <c r="B15" s="22" t="s">
        <v>42</v>
      </c>
      <c r="C15" s="11">
        <v>10</v>
      </c>
      <c r="D15" s="11">
        <f>Income!C18</f>
        <v>0</v>
      </c>
      <c r="E15" s="11">
        <f>Income!D18</f>
        <v>0</v>
      </c>
      <c r="F15" s="11">
        <f>Income!E18</f>
        <v>40</v>
      </c>
      <c r="G15" s="11">
        <f>Income!F18</f>
        <v>40</v>
      </c>
      <c r="H15" s="5"/>
      <c r="I15" s="5"/>
    </row>
    <row r="16" spans="1:9" x14ac:dyDescent="0.25">
      <c r="C16" s="5"/>
      <c r="D16" s="5"/>
      <c r="E16" s="5"/>
      <c r="F16" s="5"/>
      <c r="G16" s="5"/>
      <c r="H16" s="5"/>
      <c r="I16" s="5"/>
    </row>
    <row r="17" spans="1:9" x14ac:dyDescent="0.25">
      <c r="B17" t="s">
        <v>44</v>
      </c>
      <c r="C17" s="5">
        <f>'Sales and marketing'!D11</f>
        <v>7.32</v>
      </c>
      <c r="D17" s="5">
        <f>'Sales and marketing'!E11</f>
        <v>14.411</v>
      </c>
      <c r="E17" s="5">
        <f>'Sales and marketing'!F11</f>
        <v>15.768000000000002</v>
      </c>
      <c r="F17" s="5">
        <f>'Sales and marketing'!G11</f>
        <v>19.7423705</v>
      </c>
      <c r="G17" s="6">
        <f>SUM(C17:F17)</f>
        <v>57.241370500000002</v>
      </c>
      <c r="H17" s="5"/>
      <c r="I17" s="5"/>
    </row>
    <row r="18" spans="1:9" x14ac:dyDescent="0.25">
      <c r="B18" t="s">
        <v>45</v>
      </c>
      <c r="C18" s="5">
        <f>'R&amp;D expenses'!D12</f>
        <v>22.109176029962548</v>
      </c>
      <c r="D18" s="5">
        <f>'R&amp;D expenses'!E12</f>
        <v>42.703676029962551</v>
      </c>
      <c r="E18" s="5">
        <f>'R&amp;D expenses'!F12</f>
        <v>49.191426029962557</v>
      </c>
      <c r="F18" s="5">
        <f>'R&amp;D expenses'!G12</f>
        <v>62.577880226591759</v>
      </c>
      <c r="G18" s="6">
        <f>SUM(C18:F18)</f>
        <v>176.58215831647942</v>
      </c>
      <c r="H18" s="5"/>
      <c r="I18" s="5"/>
    </row>
    <row r="19" spans="1:9" x14ac:dyDescent="0.25">
      <c r="B19" t="s">
        <v>46</v>
      </c>
      <c r="C19" s="5">
        <f>'GA expenses'!D11</f>
        <v>7.6045880149812737</v>
      </c>
      <c r="D19" s="5">
        <f>'GA expenses'!E11</f>
        <v>17.242838014981274</v>
      </c>
      <c r="E19" s="5">
        <f>'GA expenses'!F11</f>
        <v>21.178713014981277</v>
      </c>
      <c r="F19" s="5">
        <f>'GA expenses'!G11</f>
        <v>29.859125363295881</v>
      </c>
      <c r="G19" s="6">
        <f>SUM(C19:F19)</f>
        <v>75.885264408239706</v>
      </c>
      <c r="H19" s="5"/>
      <c r="I19" s="5"/>
    </row>
    <row r="20" spans="1:9" x14ac:dyDescent="0.25">
      <c r="A20" s="12"/>
      <c r="B20" s="12"/>
      <c r="C20" s="11">
        <f>SUM(C17:C19)</f>
        <v>37.033764044943823</v>
      </c>
      <c r="D20" s="11">
        <f t="shared" ref="D20:F20" si="2">SUM(D17:D19)</f>
        <v>74.357514044943827</v>
      </c>
      <c r="E20" s="11">
        <f t="shared" si="2"/>
        <v>86.138139044943841</v>
      </c>
      <c r="F20" s="11">
        <f t="shared" si="2"/>
        <v>112.17937608988763</v>
      </c>
      <c r="G20" s="11">
        <f>SUM(C20:F20)</f>
        <v>309.7087932247191</v>
      </c>
      <c r="H20" s="5"/>
      <c r="I20" s="5"/>
    </row>
    <row r="21" spans="1:9" x14ac:dyDescent="0.25">
      <c r="C21" s="5"/>
      <c r="D21" s="5"/>
      <c r="E21" s="5"/>
      <c r="F21" s="5"/>
      <c r="G21" s="5"/>
      <c r="H21" s="5"/>
      <c r="I21" s="5"/>
    </row>
    <row r="22" spans="1:9" s="8" customFormat="1" x14ac:dyDescent="0.25">
      <c r="A22" s="22"/>
      <c r="B22" s="22" t="s">
        <v>51</v>
      </c>
      <c r="C22" s="11">
        <f>C9+C13+C15-C20</f>
        <v>69.466235955056163</v>
      </c>
      <c r="D22" s="11">
        <f t="shared" ref="D22:F22" si="3">D9+D13+D15-D20</f>
        <v>86.309152621722859</v>
      </c>
      <c r="E22" s="11">
        <f t="shared" si="3"/>
        <v>56.528527621722816</v>
      </c>
      <c r="F22" s="11">
        <f t="shared" si="3"/>
        <v>91.48729057677906</v>
      </c>
      <c r="G22" s="11">
        <f>SUM(C22:F22)</f>
        <v>303.7912067752809</v>
      </c>
      <c r="H22" s="6"/>
      <c r="I22" s="6"/>
    </row>
    <row r="23" spans="1:9" x14ac:dyDescent="0.25">
      <c r="C23" s="5"/>
      <c r="D23" s="5"/>
      <c r="E23" s="5"/>
      <c r="F23" s="5"/>
      <c r="G23" s="5"/>
      <c r="H23" s="5"/>
      <c r="I23" s="5"/>
    </row>
    <row r="24" spans="1:9" s="8" customFormat="1" x14ac:dyDescent="0.25">
      <c r="A24" s="22"/>
      <c r="B24" s="22" t="s">
        <v>16</v>
      </c>
      <c r="C24" s="11">
        <f>FA!K9</f>
        <v>8.3333333333333329E-2</v>
      </c>
      <c r="D24" s="11">
        <f>FA!L18</f>
        <v>19.125</v>
      </c>
      <c r="E24" s="11">
        <f>FA!M18</f>
        <v>43.5625</v>
      </c>
      <c r="F24" s="11">
        <f>FA!N18</f>
        <v>58.1875</v>
      </c>
      <c r="G24" s="11">
        <f>SUM(C24:F24)</f>
        <v>120.95833333333333</v>
      </c>
      <c r="H24" s="6"/>
      <c r="I24" s="6"/>
    </row>
    <row r="25" spans="1:9" ht="16.5" thickBot="1" x14ac:dyDescent="0.3">
      <c r="A25" s="13"/>
      <c r="B25" s="24" t="s">
        <v>157</v>
      </c>
      <c r="C25" s="14">
        <f>C22-C24</f>
        <v>69.382902621722835</v>
      </c>
      <c r="D25" s="14">
        <f t="shared" ref="D25:F25" si="4">D22-D24</f>
        <v>67.184152621722859</v>
      </c>
      <c r="E25" s="14">
        <f t="shared" si="4"/>
        <v>12.966027621722816</v>
      </c>
      <c r="F25" s="14">
        <f t="shared" si="4"/>
        <v>33.29979057677906</v>
      </c>
      <c r="G25" s="11">
        <f>SUM(C25:F25)</f>
        <v>182.83287344194756</v>
      </c>
      <c r="H25" s="5"/>
      <c r="I25" s="5"/>
    </row>
    <row r="26" spans="1:9" ht="16.5" thickTop="1" x14ac:dyDescent="0.25">
      <c r="A26" s="1"/>
      <c r="B26" s="1"/>
      <c r="C26" s="23"/>
      <c r="D26" s="23"/>
      <c r="E26" s="23"/>
      <c r="F26" s="23"/>
      <c r="G26" s="23"/>
      <c r="H26" s="5"/>
      <c r="I26" s="5"/>
    </row>
    <row r="27" spans="1:9" s="8" customFormat="1" x14ac:dyDescent="0.25">
      <c r="B27" s="8" t="s">
        <v>48</v>
      </c>
    </row>
    <row r="28" spans="1:9" x14ac:dyDescent="0.25">
      <c r="B28" t="s">
        <v>49</v>
      </c>
      <c r="C28" s="5">
        <v>1</v>
      </c>
      <c r="D28" s="5">
        <f>Loan!O8</f>
        <v>3.5370000000000008</v>
      </c>
      <c r="E28" s="5">
        <f>Loan!P8</f>
        <v>10.589</v>
      </c>
      <c r="F28" s="5">
        <f>Loan!Q8</f>
        <v>16.343500000000002</v>
      </c>
      <c r="G28" s="5">
        <f>SUM(C28:F28)</f>
        <v>31.469500000000004</v>
      </c>
    </row>
    <row r="29" spans="1:9" x14ac:dyDescent="0.25">
      <c r="B29" t="s">
        <v>50</v>
      </c>
      <c r="C29" s="5">
        <v>2</v>
      </c>
      <c r="D29" s="5">
        <v>2</v>
      </c>
      <c r="E29" s="5">
        <v>2</v>
      </c>
      <c r="F29" s="5">
        <v>2</v>
      </c>
      <c r="G29" s="5">
        <f>SUM(C29:F29)</f>
        <v>8</v>
      </c>
    </row>
    <row r="30" spans="1:9" x14ac:dyDescent="0.25">
      <c r="A30" s="12"/>
      <c r="B30" s="12"/>
      <c r="C30" s="11">
        <f>SUM(C28:C29)</f>
        <v>3</v>
      </c>
      <c r="D30" s="11">
        <f t="shared" ref="D30:G30" si="5">SUM(D28:D29)</f>
        <v>5.5370000000000008</v>
      </c>
      <c r="E30" s="11">
        <f t="shared" si="5"/>
        <v>12.589</v>
      </c>
      <c r="F30" s="11">
        <f t="shared" si="5"/>
        <v>18.343500000000002</v>
      </c>
      <c r="G30" s="11">
        <f t="shared" si="5"/>
        <v>39.469500000000004</v>
      </c>
    </row>
    <row r="32" spans="1:9" x14ac:dyDescent="0.25">
      <c r="A32" s="22"/>
      <c r="B32" s="22" t="s">
        <v>52</v>
      </c>
      <c r="C32" s="25">
        <f>C25-C30</f>
        <v>66.382902621722835</v>
      </c>
      <c r="D32" s="25">
        <f t="shared" ref="D32:F32" si="6">D25-D30</f>
        <v>61.64715262172286</v>
      </c>
      <c r="E32" s="25">
        <f t="shared" si="6"/>
        <v>0.37702762172281545</v>
      </c>
      <c r="F32" s="25">
        <f t="shared" si="6"/>
        <v>14.956290576779057</v>
      </c>
      <c r="G32" s="25">
        <f>SUM(C32:F32)</f>
        <v>143.36337344194757</v>
      </c>
    </row>
    <row r="34" spans="1:7" x14ac:dyDescent="0.25">
      <c r="A34" s="22"/>
      <c r="B34" s="22" t="s">
        <v>53</v>
      </c>
      <c r="C34" s="25">
        <v>0</v>
      </c>
      <c r="D34" s="25">
        <v>0</v>
      </c>
      <c r="E34" s="25">
        <v>0</v>
      </c>
      <c r="F34" s="25">
        <v>0</v>
      </c>
      <c r="G34" s="25">
        <f>G32*10%</f>
        <v>14.336337344194758</v>
      </c>
    </row>
    <row r="36" spans="1:7" x14ac:dyDescent="0.25">
      <c r="A36" s="22"/>
      <c r="B36" s="22" t="s">
        <v>54</v>
      </c>
      <c r="C36" s="25">
        <f>C32-C34</f>
        <v>66.382902621722835</v>
      </c>
      <c r="D36" s="25">
        <f>D32-D34</f>
        <v>61.64715262172286</v>
      </c>
      <c r="E36" s="25">
        <f>E32-E34</f>
        <v>0.37702762172281545</v>
      </c>
      <c r="F36" s="25">
        <f>F32-F34</f>
        <v>14.956290576779057</v>
      </c>
      <c r="G36" s="25">
        <f>SUM(C36:F36)</f>
        <v>143.36337344194757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4:I16"/>
  <sheetViews>
    <sheetView workbookViewId="0">
      <selection activeCell="C8" sqref="C8"/>
    </sheetView>
  </sheetViews>
  <sheetFormatPr defaultColWidth="11" defaultRowHeight="15.75" x14ac:dyDescent="0.25"/>
  <cols>
    <col min="1" max="1" width="2.125" bestFit="1" customWidth="1"/>
    <col min="2" max="2" width="37.5" bestFit="1" customWidth="1"/>
    <col min="3" max="3" width="8.375" bestFit="1" customWidth="1"/>
  </cols>
  <sheetData>
    <row r="4" spans="1:9" x14ac:dyDescent="0.25">
      <c r="A4" s="16"/>
      <c r="B4" s="16"/>
      <c r="C4" s="17" t="s">
        <v>87</v>
      </c>
      <c r="D4" s="17" t="s">
        <v>4</v>
      </c>
      <c r="E4" s="17" t="s">
        <v>5</v>
      </c>
      <c r="F4" s="17" t="s">
        <v>6</v>
      </c>
      <c r="G4" s="17" t="s">
        <v>7</v>
      </c>
      <c r="H4" s="17">
        <v>2021</v>
      </c>
    </row>
    <row r="5" spans="1:9" x14ac:dyDescent="0.25">
      <c r="A5" s="16"/>
      <c r="B5" s="16"/>
      <c r="C5" s="20" t="s">
        <v>86</v>
      </c>
      <c r="D5" s="18" t="s">
        <v>9</v>
      </c>
      <c r="E5" s="18" t="s">
        <v>9</v>
      </c>
      <c r="F5" s="18" t="s">
        <v>9</v>
      </c>
      <c r="G5" s="18" t="s">
        <v>9</v>
      </c>
      <c r="H5" s="18" t="s">
        <v>9</v>
      </c>
    </row>
    <row r="7" spans="1:9" x14ac:dyDescent="0.25">
      <c r="A7">
        <v>1</v>
      </c>
      <c r="B7" t="s">
        <v>55</v>
      </c>
      <c r="C7" s="26">
        <v>0.05</v>
      </c>
      <c r="D7" s="5">
        <f>$C$7*Expenses!C8</f>
        <v>3.2</v>
      </c>
      <c r="E7" s="5">
        <f>$C$7*Expenses!D8</f>
        <v>5.7</v>
      </c>
      <c r="F7" s="5">
        <f>$C$7*Expenses!E8</f>
        <v>5.7</v>
      </c>
      <c r="G7" s="5">
        <f>$C$7*Expenses!F8</f>
        <v>5.7</v>
      </c>
      <c r="H7" s="6">
        <f>SUM(D7:G7)</f>
        <v>20.3</v>
      </c>
      <c r="I7" s="5"/>
    </row>
    <row r="8" spans="1:9" x14ac:dyDescent="0.25">
      <c r="A8">
        <v>2</v>
      </c>
      <c r="B8" t="s">
        <v>56</v>
      </c>
      <c r="C8" s="26">
        <v>0.1</v>
      </c>
      <c r="D8" s="5">
        <f>$C$8*Expenses!C15</f>
        <v>3.4000000000000004</v>
      </c>
      <c r="E8" s="5">
        <f>$C$8*Expenses!D15</f>
        <v>3.4000000000000004</v>
      </c>
      <c r="F8" s="5">
        <f>$C$8*Expenses!E15</f>
        <v>6.0600000000000005</v>
      </c>
      <c r="G8" s="5">
        <f>$C$8*Expenses!F15</f>
        <v>14.008741000000001</v>
      </c>
      <c r="H8" s="6">
        <f t="shared" ref="H8:H10" si="0">SUM(D8:G8)</f>
        <v>26.868741</v>
      </c>
      <c r="I8" s="5"/>
    </row>
    <row r="9" spans="1:9" x14ac:dyDescent="0.25">
      <c r="A9">
        <v>4</v>
      </c>
      <c r="B9" t="s">
        <v>16</v>
      </c>
      <c r="C9" s="26">
        <v>0.05</v>
      </c>
      <c r="D9" s="5">
        <f>$C$9*Expenses!C20</f>
        <v>4.5880149812734085E-3</v>
      </c>
      <c r="E9" s="5">
        <f>$C$9*Expenses!D20</f>
        <v>0.96083801498127341</v>
      </c>
      <c r="F9" s="5">
        <f>$C$9*Expenses!E20</f>
        <v>2.1827130149812737</v>
      </c>
      <c r="G9" s="5">
        <f>$C$9*Expenses!F20</f>
        <v>2.9143843632958806</v>
      </c>
      <c r="H9" s="6">
        <f t="shared" si="0"/>
        <v>6.0625234082397013</v>
      </c>
      <c r="I9" s="5"/>
    </row>
    <row r="10" spans="1:9" x14ac:dyDescent="0.25">
      <c r="A10">
        <v>5</v>
      </c>
      <c r="B10" t="s">
        <v>57</v>
      </c>
      <c r="C10" s="26">
        <v>0.1</v>
      </c>
      <c r="D10" s="5">
        <f>$C$10*Expenses!C25</f>
        <v>1</v>
      </c>
      <c r="E10" s="5">
        <f>$C$10*Expenses!D25</f>
        <v>7.1819999999999995</v>
      </c>
      <c r="F10" s="5">
        <f>$C$10*Expenses!E25</f>
        <v>7.2360000000000007</v>
      </c>
      <c r="G10" s="5">
        <f>$C$10*Expenses!F25</f>
        <v>7.2360000000000007</v>
      </c>
      <c r="H10" s="6">
        <f t="shared" si="0"/>
        <v>22.654</v>
      </c>
      <c r="I10" s="5"/>
    </row>
    <row r="11" spans="1:9" x14ac:dyDescent="0.25">
      <c r="A11" s="12"/>
      <c r="B11" s="12"/>
      <c r="C11" s="12"/>
      <c r="D11" s="11">
        <f>SUM(D7:D10)</f>
        <v>7.6045880149812737</v>
      </c>
      <c r="E11" s="11">
        <f t="shared" ref="E11:H11" si="1">SUM(E7:E10)</f>
        <v>17.242838014981274</v>
      </c>
      <c r="F11" s="11">
        <f t="shared" si="1"/>
        <v>21.178713014981277</v>
      </c>
      <c r="G11" s="11">
        <f t="shared" si="1"/>
        <v>29.859125363295881</v>
      </c>
      <c r="H11" s="11">
        <f t="shared" si="1"/>
        <v>75.885264408239692</v>
      </c>
      <c r="I11" s="5"/>
    </row>
    <row r="12" spans="1:9" x14ac:dyDescent="0.25">
      <c r="D12" s="5"/>
      <c r="E12" s="5"/>
      <c r="F12" s="5"/>
      <c r="G12" s="5"/>
      <c r="H12" s="5"/>
      <c r="I12" s="5"/>
    </row>
    <row r="13" spans="1:9" x14ac:dyDescent="0.25">
      <c r="D13" s="5"/>
      <c r="E13" s="5"/>
      <c r="F13" s="5"/>
      <c r="G13" s="5"/>
      <c r="H13" s="5"/>
      <c r="I13" s="5"/>
    </row>
    <row r="14" spans="1:9" x14ac:dyDescent="0.25">
      <c r="D14" s="5"/>
      <c r="E14" s="5"/>
      <c r="F14" s="5"/>
      <c r="G14" s="5"/>
      <c r="H14" s="5"/>
      <c r="I14" s="5"/>
    </row>
    <row r="15" spans="1:9" x14ac:dyDescent="0.25">
      <c r="D15" s="5"/>
      <c r="E15" s="5"/>
      <c r="F15" s="5"/>
      <c r="G15" s="5"/>
      <c r="H15" s="5"/>
      <c r="I15" s="5"/>
    </row>
    <row r="16" spans="1:9" x14ac:dyDescent="0.25">
      <c r="D16" s="5"/>
      <c r="E16" s="5"/>
      <c r="F16" s="5"/>
      <c r="G16" s="5"/>
      <c r="H16" s="5"/>
      <c r="I1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G32"/>
  <sheetViews>
    <sheetView workbookViewId="0">
      <selection sqref="A1:XFD1048576"/>
    </sheetView>
  </sheetViews>
  <sheetFormatPr defaultColWidth="11" defaultRowHeight="15.75" x14ac:dyDescent="0.25"/>
  <cols>
    <col min="1" max="1" width="2.125" style="8" bestFit="1" customWidth="1"/>
    <col min="2" max="2" width="46.125" bestFit="1" customWidth="1"/>
    <col min="3" max="7" width="8.5" bestFit="1" customWidth="1"/>
  </cols>
  <sheetData>
    <row r="4" spans="1:7" x14ac:dyDescent="0.25">
      <c r="A4" s="19"/>
      <c r="B4" s="16"/>
      <c r="C4" s="17" t="s">
        <v>4</v>
      </c>
      <c r="D4" s="17" t="s">
        <v>104</v>
      </c>
      <c r="E4" s="17" t="s">
        <v>105</v>
      </c>
      <c r="F4" s="17" t="s">
        <v>106</v>
      </c>
      <c r="G4" s="17" t="s">
        <v>107</v>
      </c>
    </row>
    <row r="5" spans="1:7" x14ac:dyDescent="0.25">
      <c r="A5" s="19"/>
      <c r="B5" s="16"/>
      <c r="C5" s="31" t="s">
        <v>9</v>
      </c>
      <c r="D5" s="31" t="s">
        <v>9</v>
      </c>
      <c r="E5" s="31" t="s">
        <v>9</v>
      </c>
      <c r="F5" s="31" t="s">
        <v>9</v>
      </c>
      <c r="G5" s="31" t="s">
        <v>9</v>
      </c>
    </row>
    <row r="7" spans="1:7" x14ac:dyDescent="0.25">
      <c r="A7" s="22">
        <v>1</v>
      </c>
      <c r="B7" s="22" t="s">
        <v>137</v>
      </c>
      <c r="C7" s="11">
        <f>PL!C36</f>
        <v>66.382902621722835</v>
      </c>
      <c r="D7" s="11">
        <f>PL!D36</f>
        <v>61.64715262172286</v>
      </c>
      <c r="E7" s="11">
        <f>PL!E36</f>
        <v>0.37702762172281545</v>
      </c>
      <c r="F7" s="11">
        <f>PL!F36</f>
        <v>14.956290576779057</v>
      </c>
      <c r="G7" s="11">
        <f>SUM(C7:F7)</f>
        <v>143.36337344194757</v>
      </c>
    </row>
    <row r="8" spans="1:7" x14ac:dyDescent="0.25">
      <c r="A8" s="32">
        <v>2</v>
      </c>
      <c r="B8" s="32" t="s">
        <v>138</v>
      </c>
      <c r="C8" s="33">
        <f>PL!C24</f>
        <v>8.3333333333333329E-2</v>
      </c>
      <c r="D8" s="33">
        <f>PL!D24</f>
        <v>19.125</v>
      </c>
      <c r="E8" s="33">
        <f>PL!E24</f>
        <v>43.5625</v>
      </c>
      <c r="F8" s="33">
        <f>PL!F24</f>
        <v>58.1875</v>
      </c>
      <c r="G8" s="33">
        <f>SUM(C8:F8)</f>
        <v>120.95833333333333</v>
      </c>
    </row>
    <row r="9" spans="1:7" x14ac:dyDescent="0.25">
      <c r="C9" s="5"/>
      <c r="D9" s="5"/>
      <c r="E9" s="5"/>
      <c r="F9" s="5"/>
      <c r="G9" s="5"/>
    </row>
    <row r="10" spans="1:7" x14ac:dyDescent="0.25">
      <c r="A10" s="8">
        <v>3</v>
      </c>
      <c r="B10" s="8" t="s">
        <v>139</v>
      </c>
      <c r="C10" s="5"/>
      <c r="D10" s="5"/>
      <c r="E10" s="5"/>
      <c r="F10" s="5"/>
      <c r="G10" s="5"/>
    </row>
    <row r="11" spans="1:7" x14ac:dyDescent="0.25">
      <c r="B11" t="s">
        <v>83</v>
      </c>
      <c r="C11" s="5">
        <f>BS!C15-BS!D15</f>
        <v>-91.670468164793988</v>
      </c>
      <c r="D11" s="5">
        <f>BS!D15-BS!E15</f>
        <v>-169.87221816479405</v>
      </c>
      <c r="E11" s="5">
        <f>BS!E15-BS!F15</f>
        <v>-195.10184316479399</v>
      </c>
      <c r="F11" s="5">
        <f>BS!F15-BS!G15</f>
        <v>-769.79981429625457</v>
      </c>
      <c r="G11" s="6">
        <f t="shared" ref="G11:G17" si="0">SUM(C11:F11)</f>
        <v>-1226.4443437906366</v>
      </c>
    </row>
    <row r="12" spans="1:7" x14ac:dyDescent="0.25">
      <c r="B12" t="s">
        <v>148</v>
      </c>
      <c r="C12" s="5">
        <f>BS!C17-BS!D17</f>
        <v>-406</v>
      </c>
      <c r="D12" s="5">
        <f>BS!D17-BS!E17</f>
        <v>-120.5333333333333</v>
      </c>
      <c r="E12" s="5">
        <f>BS!E17-BS!F17</f>
        <v>27.200000000000045</v>
      </c>
      <c r="F12" s="5">
        <f>BS!F17-BS!G17</f>
        <v>-64</v>
      </c>
      <c r="G12" s="6">
        <f t="shared" si="0"/>
        <v>-563.33333333333326</v>
      </c>
    </row>
    <row r="13" spans="1:7" x14ac:dyDescent="0.25">
      <c r="B13" t="s">
        <v>112</v>
      </c>
      <c r="C13" s="5">
        <f>BS!D24-BS!C24</f>
        <v>320</v>
      </c>
      <c r="D13" s="5">
        <f>BS!E24-BS!D24</f>
        <v>194</v>
      </c>
      <c r="E13" s="5">
        <f>BS!F24-BS!E24</f>
        <v>190</v>
      </c>
      <c r="F13" s="5">
        <f>BS!G24-BS!F24</f>
        <v>126</v>
      </c>
      <c r="G13" s="6">
        <f t="shared" si="0"/>
        <v>830</v>
      </c>
    </row>
    <row r="14" spans="1:7" x14ac:dyDescent="0.25">
      <c r="B14" t="s">
        <v>113</v>
      </c>
      <c r="C14" s="5">
        <f>BS!D25-BS!C25+5.2</f>
        <v>198.2</v>
      </c>
      <c r="D14" s="5">
        <f>BS!E25-BS!D25-178.5</f>
        <v>126.89999999999998</v>
      </c>
      <c r="E14" s="5">
        <f>BS!F25-BS!E25-171.4</f>
        <v>-71.720000000000056</v>
      </c>
      <c r="F14" s="5">
        <f>BS!G25-BS!F25+438.5</f>
        <v>376.48992800000019</v>
      </c>
      <c r="G14" s="6">
        <f t="shared" si="0"/>
        <v>629.86992800000007</v>
      </c>
    </row>
    <row r="15" spans="1:7" x14ac:dyDescent="0.25">
      <c r="B15" t="s">
        <v>114</v>
      </c>
      <c r="C15" s="5">
        <f>BS!D26-BS!C26</f>
        <v>0</v>
      </c>
      <c r="D15" s="5">
        <f>BS!E26-BS!D26</f>
        <v>7</v>
      </c>
      <c r="E15" s="5">
        <f>BS!F26-BS!E26</f>
        <v>0</v>
      </c>
      <c r="F15" s="5">
        <f>BS!G26-BS!F26</f>
        <v>0</v>
      </c>
      <c r="G15" s="6">
        <f t="shared" si="0"/>
        <v>7</v>
      </c>
    </row>
    <row r="16" spans="1:7" x14ac:dyDescent="0.25">
      <c r="B16" t="s">
        <v>115</v>
      </c>
      <c r="C16" s="5">
        <f>BS!D27-BS!C27-59</f>
        <v>-2</v>
      </c>
      <c r="D16" s="5">
        <f>BS!E27-BS!D27-73</f>
        <v>-56.066666666666663</v>
      </c>
      <c r="E16" s="5">
        <f>BS!F27-BS!E27+32</f>
        <v>-82.786666666666704</v>
      </c>
      <c r="F16" s="5">
        <f>BS!G27-BS!F27+11</f>
        <v>-51.284148666666667</v>
      </c>
      <c r="G16" s="6">
        <f t="shared" si="0"/>
        <v>-192.13748200000003</v>
      </c>
    </row>
    <row r="17" spans="1:7" x14ac:dyDescent="0.25">
      <c r="A17" s="22"/>
      <c r="B17" s="12"/>
      <c r="C17" s="25">
        <f>SUM(C11:C16)</f>
        <v>18.529531835206001</v>
      </c>
      <c r="D17" s="25">
        <f>SUM(D11:D16)</f>
        <v>-18.572218164794037</v>
      </c>
      <c r="E17" s="25">
        <f>SUM(E11:E16)</f>
        <v>-132.40850983146072</v>
      </c>
      <c r="F17" s="25">
        <f>SUM(F11:F16)</f>
        <v>-382.59403496292106</v>
      </c>
      <c r="G17" s="11">
        <f t="shared" si="0"/>
        <v>-515.04523112396987</v>
      </c>
    </row>
    <row r="19" spans="1:7" x14ac:dyDescent="0.25">
      <c r="A19" s="22">
        <v>4</v>
      </c>
      <c r="B19" s="22" t="s">
        <v>140</v>
      </c>
      <c r="C19" s="11">
        <f>-FA!D22</f>
        <v>-8</v>
      </c>
      <c r="D19" s="11">
        <f>-FA!E22</f>
        <v>-293</v>
      </c>
      <c r="E19" s="11">
        <f>-FA!F22</f>
        <v>-391</v>
      </c>
      <c r="F19" s="11">
        <f>-FA!G22</f>
        <v>-234</v>
      </c>
      <c r="G19" s="11">
        <f>SUM(C19:F19)</f>
        <v>-926</v>
      </c>
    </row>
    <row r="20" spans="1:7" x14ac:dyDescent="0.25">
      <c r="C20" s="4"/>
      <c r="D20" s="4"/>
      <c r="E20" s="4"/>
      <c r="F20" s="4"/>
      <c r="G20" s="4"/>
    </row>
    <row r="21" spans="1:7" x14ac:dyDescent="0.25">
      <c r="B21" t="s">
        <v>141</v>
      </c>
      <c r="C21" s="5">
        <f>BS!D21-BS!C21</f>
        <v>0</v>
      </c>
      <c r="D21" s="5">
        <f>BS!E21-BS!D21</f>
        <v>0</v>
      </c>
      <c r="E21" s="5">
        <f>BS!F21-BS!E21</f>
        <v>0</v>
      </c>
      <c r="F21" s="5">
        <f>BS!G21-BS!F21</f>
        <v>0</v>
      </c>
      <c r="G21" s="6">
        <f>SUM(C21:F21)</f>
        <v>0</v>
      </c>
    </row>
    <row r="22" spans="1:7" x14ac:dyDescent="0.25">
      <c r="B22" t="s">
        <v>142</v>
      </c>
      <c r="C22" s="5">
        <f>BS!D33-BS!C33</f>
        <v>0</v>
      </c>
      <c r="D22" s="5">
        <f>BS!E33-BS!D33</f>
        <v>2000</v>
      </c>
      <c r="E22" s="5">
        <f>BS!F33-BS!E33</f>
        <v>0</v>
      </c>
      <c r="F22" s="5">
        <f>BS!G33-BS!F33</f>
        <v>0</v>
      </c>
      <c r="G22" s="6">
        <f>SUM(C22:F22)</f>
        <v>2000</v>
      </c>
    </row>
    <row r="23" spans="1:7" x14ac:dyDescent="0.25">
      <c r="B23" t="s">
        <v>143</v>
      </c>
      <c r="C23" s="4">
        <v>0</v>
      </c>
      <c r="D23" s="4">
        <v>0</v>
      </c>
      <c r="E23" s="4">
        <v>0</v>
      </c>
      <c r="F23" s="4">
        <v>0</v>
      </c>
      <c r="G23" s="6">
        <f>SUM(C23:F23)</f>
        <v>0</v>
      </c>
    </row>
    <row r="24" spans="1:7" x14ac:dyDescent="0.25">
      <c r="A24" s="22"/>
      <c r="B24" s="12"/>
      <c r="C24" s="11">
        <f>SUM(C21:C23)</f>
        <v>0</v>
      </c>
      <c r="D24" s="11">
        <f>SUM(D21:D23)</f>
        <v>2000</v>
      </c>
      <c r="E24" s="11">
        <f>SUM(E21:E23)</f>
        <v>0</v>
      </c>
      <c r="F24" s="11">
        <f>SUM(F21:F23)</f>
        <v>0</v>
      </c>
      <c r="G24" s="11">
        <f>SUM(C24:F24)</f>
        <v>2000</v>
      </c>
    </row>
    <row r="25" spans="1:7" x14ac:dyDescent="0.25">
      <c r="C25" s="4"/>
      <c r="D25" s="4"/>
      <c r="E25" s="4"/>
      <c r="F25" s="4"/>
      <c r="G25" s="4"/>
    </row>
    <row r="26" spans="1:7" s="8" customFormat="1" x14ac:dyDescent="0.25">
      <c r="A26" s="22">
        <v>5</v>
      </c>
      <c r="B26" s="22" t="s">
        <v>144</v>
      </c>
      <c r="C26" s="11">
        <f>C7+C8+C17+C19+C24</f>
        <v>76.995767790262164</v>
      </c>
      <c r="D26" s="11">
        <f>D7+D8+D17+D19+D24</f>
        <v>1769.1999344569288</v>
      </c>
      <c r="E26" s="11">
        <f>E7+E8+E17+E19+E24</f>
        <v>-479.46898220973787</v>
      </c>
      <c r="F26" s="11">
        <f>F7+F8+F17+F19+F24</f>
        <v>-543.450244386142</v>
      </c>
      <c r="G26" s="11">
        <f>G7+G8+G17+G19+G24</f>
        <v>823.2764756513111</v>
      </c>
    </row>
    <row r="27" spans="1:7" x14ac:dyDescent="0.25">
      <c r="C27" s="4"/>
      <c r="D27" s="4"/>
      <c r="E27" s="4"/>
      <c r="F27" s="4"/>
      <c r="G27" s="4"/>
    </row>
    <row r="28" spans="1:7" s="8" customFormat="1" x14ac:dyDescent="0.25">
      <c r="A28" s="22">
        <v>6</v>
      </c>
      <c r="B28" s="22" t="s">
        <v>145</v>
      </c>
      <c r="C28" s="11">
        <f>BS!C18</f>
        <v>26</v>
      </c>
      <c r="D28" s="11">
        <f>C29</f>
        <v>102.99576779026216</v>
      </c>
      <c r="E28" s="11">
        <f>D29</f>
        <v>1872.1957022471909</v>
      </c>
      <c r="F28" s="11">
        <f>E29</f>
        <v>1392.7267200374531</v>
      </c>
      <c r="G28" s="11">
        <f>C28</f>
        <v>26</v>
      </c>
    </row>
    <row r="29" spans="1:7" s="8" customFormat="1" ht="16.5" thickBot="1" x14ac:dyDescent="0.3">
      <c r="A29" s="24">
        <v>7</v>
      </c>
      <c r="B29" s="24" t="s">
        <v>146</v>
      </c>
      <c r="C29" s="14">
        <f>C28+C26</f>
        <v>102.99576779026216</v>
      </c>
      <c r="D29" s="14">
        <f>D28+D26</f>
        <v>1872.1957022471909</v>
      </c>
      <c r="E29" s="14">
        <f>E28+E26</f>
        <v>1392.7267200374531</v>
      </c>
      <c r="F29" s="14">
        <f>F28+F26</f>
        <v>849.2764756513111</v>
      </c>
      <c r="G29" s="14">
        <f>G28+G26</f>
        <v>849.2764756513111</v>
      </c>
    </row>
    <row r="30" spans="1:7" ht="16.5" thickTop="1" x14ac:dyDescent="0.25">
      <c r="C30" s="4"/>
      <c r="D30" s="4"/>
      <c r="E30" s="4"/>
      <c r="F30" s="4"/>
      <c r="G30" s="4"/>
    </row>
    <row r="31" spans="1:7" x14ac:dyDescent="0.25">
      <c r="C31" s="4"/>
      <c r="D31" s="4"/>
      <c r="E31" s="4"/>
      <c r="F31" s="4"/>
      <c r="G31" s="4"/>
    </row>
    <row r="32" spans="1:7" x14ac:dyDescent="0.25">
      <c r="C32" s="4"/>
      <c r="D32" s="4"/>
      <c r="E32" s="4"/>
      <c r="F32" s="4"/>
      <c r="G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13"/>
  <sheetViews>
    <sheetView workbookViewId="0">
      <selection sqref="A1:XFD1048576"/>
    </sheetView>
  </sheetViews>
  <sheetFormatPr defaultColWidth="10.875" defaultRowHeight="15.75" x14ac:dyDescent="0.25"/>
  <cols>
    <col min="1" max="1" width="38.125" style="27" bestFit="1" customWidth="1"/>
    <col min="2" max="7" width="8.5" style="27" bestFit="1" customWidth="1"/>
    <col min="8" max="16384" width="10.875" style="27"/>
  </cols>
  <sheetData>
    <row r="6" spans="1:7" x14ac:dyDescent="0.25">
      <c r="A6" s="34" t="s">
        <v>122</v>
      </c>
      <c r="B6" s="35">
        <v>2020</v>
      </c>
      <c r="C6" s="36" t="s">
        <v>4</v>
      </c>
      <c r="D6" s="36" t="s">
        <v>104</v>
      </c>
      <c r="E6" s="36" t="s">
        <v>105</v>
      </c>
      <c r="F6" s="36" t="s">
        <v>106</v>
      </c>
      <c r="G6" s="36" t="s">
        <v>107</v>
      </c>
    </row>
    <row r="7" spans="1:7" x14ac:dyDescent="0.25">
      <c r="A7" s="34"/>
      <c r="B7" s="31" t="s">
        <v>9</v>
      </c>
      <c r="C7" s="31" t="s">
        <v>9</v>
      </c>
      <c r="D7" s="31" t="s">
        <v>9</v>
      </c>
      <c r="E7" s="31" t="s">
        <v>9</v>
      </c>
      <c r="F7" s="31" t="s">
        <v>9</v>
      </c>
      <c r="G7" s="31" t="s">
        <v>9</v>
      </c>
    </row>
    <row r="8" spans="1:7" x14ac:dyDescent="0.25">
      <c r="A8" s="37" t="s">
        <v>123</v>
      </c>
      <c r="B8" s="38"/>
      <c r="C8" s="39">
        <f>PL!C25/(PL!C7+PL!C11+PL!C15)</f>
        <v>0.31394978561865539</v>
      </c>
      <c r="D8" s="39">
        <f>PL!D25/(PL!D7+PL!D11+PL!D15)</f>
        <v>0.19158978884521727</v>
      </c>
      <c r="E8" s="39">
        <f>PL!E25/(PL!E7+PL!E11+PL!E15)</f>
        <v>4.0945350384387839E-2</v>
      </c>
      <c r="F8" s="39">
        <f>PL!F25/(PL!F7+PL!F11+PL!F15)</f>
        <v>8.3949051874232919E-2</v>
      </c>
      <c r="G8" s="39">
        <f>PL!G25/(PL!G7+PL!G11+PL!G15)</f>
        <v>0.14339833211133141</v>
      </c>
    </row>
    <row r="9" spans="1:7" x14ac:dyDescent="0.25">
      <c r="A9" s="37" t="s">
        <v>124</v>
      </c>
      <c r="B9" s="37"/>
      <c r="C9" s="40">
        <f>(PL!C7+PL!C11+PL!C15)/(BS!D10+BS!D19)</f>
        <v>0.16707627115164728</v>
      </c>
      <c r="D9" s="40">
        <f>(PL!D7+PL!D11+PL!D15)/(BS!E10+BS!E19)</f>
        <v>9.2646488325564089E-2</v>
      </c>
      <c r="E9" s="40">
        <f>(PL!E7+PL!E11+PL!E15)/(BS!F10+BS!F19)</f>
        <v>7.9666047748396945E-2</v>
      </c>
      <c r="F9" s="40">
        <f>(PL!F7+PL!F11+PL!F15)/(BS!G10+BS!G19)</f>
        <v>9.6634286541631018E-2</v>
      </c>
      <c r="G9" s="40">
        <f>(PL!G7+PL!G11+PL!G15)/(BS!H10+BS!H19)</f>
        <v>0.31061020674095685</v>
      </c>
    </row>
    <row r="10" spans="1:7" x14ac:dyDescent="0.25">
      <c r="A10" s="37" t="s">
        <v>125</v>
      </c>
      <c r="B10" s="37"/>
      <c r="C10" s="40">
        <f>BS!D28/(BS!D19+BS!D10)</f>
        <v>0.46569675578920683</v>
      </c>
      <c r="D10" s="40">
        <f>BS!E28/(BS!E19+BS!E10)</f>
        <v>0.30101302005397157</v>
      </c>
      <c r="E10" s="40">
        <f>BS!F28/(BS!F19+BS!F10)</f>
        <v>0.33062919277542063</v>
      </c>
      <c r="F10" s="40">
        <f>BS!G28/(BS!G19+BS!G10)</f>
        <v>0.32058199930132786</v>
      </c>
      <c r="G10" s="40">
        <f>BS!H28/(BS!H19+BS!H10)</f>
        <v>0.32058199930132786</v>
      </c>
    </row>
    <row r="11" spans="1:7" x14ac:dyDescent="0.25">
      <c r="A11" s="37" t="s">
        <v>126</v>
      </c>
      <c r="B11" s="37"/>
      <c r="C11" s="40">
        <f>PL!C25/(BS!D19+BS!D10)</f>
        <v>5.2453559510023992E-2</v>
      </c>
      <c r="D11" s="40">
        <f>PL!D25/(BS!E19+BS!E10)</f>
        <v>1.7750121135545711E-2</v>
      </c>
      <c r="E11" s="40">
        <f>PL!E25/(BS!F19+BS!F10)</f>
        <v>3.2619542387974845E-3</v>
      </c>
      <c r="F11" s="40">
        <f>PL!F25/(BS!G19+BS!G10)</f>
        <v>8.1123567337128711E-3</v>
      </c>
      <c r="G11" s="40">
        <f>PL!G25/(BS!H19+BS!H10)</f>
        <v>4.4540985583409042E-2</v>
      </c>
    </row>
    <row r="12" spans="1:7" x14ac:dyDescent="0.25">
      <c r="A12" s="37" t="s">
        <v>127</v>
      </c>
      <c r="B12" s="37"/>
      <c r="C12" s="41">
        <f>PL!C25/BS!C33</f>
        <v>3.7415283984967018E-3</v>
      </c>
      <c r="D12" s="41">
        <f>PL!D25/BS!D33</f>
        <v>3.6229590499203441E-3</v>
      </c>
      <c r="E12" s="41">
        <f>PL!E25/BS!E33</f>
        <v>6.3113452208541742E-4</v>
      </c>
      <c r="F12" s="41">
        <f>PL!F25/BS!F33</f>
        <v>1.620901021065959E-3</v>
      </c>
      <c r="G12" s="41">
        <f>PL!G25/BS!G33</f>
        <v>8.8995752259514969E-3</v>
      </c>
    </row>
    <row r="13" spans="1:7" x14ac:dyDescent="0.25">
      <c r="A13" s="37" t="s">
        <v>128</v>
      </c>
      <c r="B13" s="42"/>
      <c r="C13" s="40">
        <f>BS!D28/BS!D19</f>
        <v>0.47064542596555897</v>
      </c>
      <c r="D13" s="40">
        <f>BS!E28/BS!E19</f>
        <v>0.32577462129566381</v>
      </c>
      <c r="E13" s="40">
        <f>BS!F28/BS!F19</f>
        <v>0.39349410817393499</v>
      </c>
      <c r="F13" s="40">
        <f>BS!G28/BS!G19</f>
        <v>0.39948481923146995</v>
      </c>
      <c r="G13" s="40">
        <f>BS!H28/BS!H19</f>
        <v>0.39948481923146995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Y44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43.5" bestFit="1" customWidth="1"/>
    <col min="3" max="3" width="12.125" bestFit="1" customWidth="1"/>
    <col min="4" max="8" width="8.5" bestFit="1" customWidth="1"/>
    <col min="9" max="9" width="3" customWidth="1"/>
    <col min="10" max="10" width="13" bestFit="1" customWidth="1"/>
    <col min="11" max="15" width="8.5" bestFit="1" customWidth="1"/>
    <col min="16" max="16" width="3.125" customWidth="1"/>
    <col min="17" max="17" width="18.125" bestFit="1" customWidth="1"/>
    <col min="18" max="22" width="8.5" bestFit="1" customWidth="1"/>
  </cols>
  <sheetData>
    <row r="4" spans="1:25" x14ac:dyDescent="0.25">
      <c r="B4" s="8" t="s">
        <v>66</v>
      </c>
      <c r="J4" s="8" t="s">
        <v>47</v>
      </c>
      <c r="Q4" t="s">
        <v>153</v>
      </c>
    </row>
    <row r="5" spans="1:25" x14ac:dyDescent="0.25">
      <c r="A5" s="15"/>
      <c r="B5" s="16"/>
      <c r="C5" s="17" t="s">
        <v>59</v>
      </c>
      <c r="D5" s="17" t="s">
        <v>4</v>
      </c>
      <c r="E5" s="17" t="s">
        <v>5</v>
      </c>
      <c r="F5" s="17" t="s">
        <v>6</v>
      </c>
      <c r="G5" s="17" t="s">
        <v>7</v>
      </c>
      <c r="H5" s="17">
        <v>2021</v>
      </c>
      <c r="J5" s="17" t="s">
        <v>59</v>
      </c>
      <c r="K5" s="17" t="s">
        <v>4</v>
      </c>
      <c r="L5" s="17" t="s">
        <v>5</v>
      </c>
      <c r="M5" s="17" t="s">
        <v>6</v>
      </c>
      <c r="N5" s="17" t="s">
        <v>7</v>
      </c>
      <c r="O5" s="17">
        <v>2021</v>
      </c>
      <c r="Q5" s="17" t="s">
        <v>59</v>
      </c>
      <c r="R5" s="17" t="s">
        <v>4</v>
      </c>
      <c r="S5" s="17" t="s">
        <v>5</v>
      </c>
      <c r="T5" s="17" t="s">
        <v>6</v>
      </c>
      <c r="U5" s="17" t="s">
        <v>7</v>
      </c>
      <c r="V5" s="17">
        <v>2021</v>
      </c>
    </row>
    <row r="6" spans="1:25" x14ac:dyDescent="0.25">
      <c r="A6" s="15"/>
      <c r="B6" s="16"/>
      <c r="C6" s="18" t="s">
        <v>9</v>
      </c>
      <c r="D6" s="18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J6" s="18" t="s">
        <v>9</v>
      </c>
      <c r="K6" s="18" t="s">
        <v>9</v>
      </c>
      <c r="L6" s="18" t="s">
        <v>9</v>
      </c>
      <c r="M6" s="18" t="s">
        <v>9</v>
      </c>
      <c r="N6" s="18" t="s">
        <v>9</v>
      </c>
      <c r="O6" s="18" t="s">
        <v>9</v>
      </c>
      <c r="Q6" s="18" t="s">
        <v>9</v>
      </c>
      <c r="R6" s="18" t="s">
        <v>9</v>
      </c>
      <c r="S6" s="18" t="s">
        <v>9</v>
      </c>
      <c r="T6" s="18" t="s">
        <v>9</v>
      </c>
      <c r="U6" s="18" t="s">
        <v>9</v>
      </c>
      <c r="V6" s="18" t="s">
        <v>9</v>
      </c>
    </row>
    <row r="8" spans="1:25" x14ac:dyDescent="0.25">
      <c r="A8">
        <v>1</v>
      </c>
      <c r="B8" t="s">
        <v>63</v>
      </c>
      <c r="C8" s="5">
        <v>13</v>
      </c>
      <c r="D8" s="5">
        <f t="shared" ref="D8:G10" si="0">C8+D18-D28</f>
        <v>13</v>
      </c>
      <c r="E8" s="5">
        <f t="shared" si="0"/>
        <v>306</v>
      </c>
      <c r="F8" s="5">
        <f t="shared" si="0"/>
        <v>697</v>
      </c>
      <c r="G8" s="5">
        <f t="shared" si="0"/>
        <v>931</v>
      </c>
      <c r="H8" s="6">
        <f>G8</f>
        <v>931</v>
      </c>
      <c r="J8" s="5">
        <v>3</v>
      </c>
      <c r="K8" s="5">
        <f t="shared" ref="K8:N11" si="1">J8+K18-K28</f>
        <v>3</v>
      </c>
      <c r="L8" s="5">
        <f t="shared" si="1"/>
        <v>22.125</v>
      </c>
      <c r="M8" s="5">
        <f t="shared" si="1"/>
        <v>65.6875</v>
      </c>
      <c r="N8" s="5">
        <f t="shared" si="1"/>
        <v>123.875</v>
      </c>
      <c r="O8" s="6">
        <f>SUM(J8:N8)</f>
        <v>217.6875</v>
      </c>
      <c r="Q8" s="5">
        <f t="shared" ref="Q8:U11" si="2">C8-J8</f>
        <v>10</v>
      </c>
      <c r="R8" s="5">
        <f t="shared" si="2"/>
        <v>10</v>
      </c>
      <c r="S8" s="5">
        <f t="shared" si="2"/>
        <v>283.875</v>
      </c>
      <c r="T8" s="5">
        <f t="shared" si="2"/>
        <v>631.3125</v>
      </c>
      <c r="U8" s="5">
        <f t="shared" si="2"/>
        <v>807.125</v>
      </c>
      <c r="V8" s="6">
        <f>U8</f>
        <v>807.125</v>
      </c>
    </row>
    <row r="9" spans="1:25" x14ac:dyDescent="0.25">
      <c r="A9">
        <v>2</v>
      </c>
      <c r="B9" t="s">
        <v>64</v>
      </c>
      <c r="C9" s="5">
        <v>0</v>
      </c>
      <c r="D9" s="5">
        <f t="shared" si="0"/>
        <v>2</v>
      </c>
      <c r="E9" s="5">
        <f t="shared" si="0"/>
        <v>2</v>
      </c>
      <c r="F9" s="5">
        <f t="shared" si="0"/>
        <v>2</v>
      </c>
      <c r="G9" s="5">
        <f t="shared" si="0"/>
        <v>2</v>
      </c>
      <c r="H9" s="6">
        <f>G9</f>
        <v>2</v>
      </c>
      <c r="J9" s="5">
        <v>0</v>
      </c>
      <c r="K9" s="5">
        <f t="shared" si="1"/>
        <v>8.3333333333333329E-2</v>
      </c>
      <c r="L9" s="5">
        <f t="shared" si="1"/>
        <v>0.16666666666666666</v>
      </c>
      <c r="M9" s="5">
        <f t="shared" si="1"/>
        <v>0.25</v>
      </c>
      <c r="N9" s="5">
        <f t="shared" si="1"/>
        <v>0.33333333333333331</v>
      </c>
      <c r="O9" s="6">
        <f t="shared" ref="O9:O10" si="3">SUM(J9:N9)</f>
        <v>0.83333333333333326</v>
      </c>
      <c r="Q9" s="5">
        <f t="shared" si="2"/>
        <v>0</v>
      </c>
      <c r="R9" s="5">
        <f t="shared" si="2"/>
        <v>1.9166666666666667</v>
      </c>
      <c r="S9" s="5">
        <f t="shared" si="2"/>
        <v>1.8333333333333333</v>
      </c>
      <c r="T9" s="5">
        <f t="shared" si="2"/>
        <v>1.75</v>
      </c>
      <c r="U9" s="5">
        <f t="shared" si="2"/>
        <v>1.6666666666666667</v>
      </c>
      <c r="V9" s="6">
        <f>U9</f>
        <v>1.6666666666666667</v>
      </c>
    </row>
    <row r="10" spans="1:25" x14ac:dyDescent="0.25">
      <c r="A10">
        <v>3</v>
      </c>
      <c r="B10" t="s">
        <v>65</v>
      </c>
      <c r="C10" s="5">
        <v>0</v>
      </c>
      <c r="D10" s="5">
        <f t="shared" si="0"/>
        <v>2</v>
      </c>
      <c r="E10" s="5">
        <f t="shared" si="0"/>
        <v>2</v>
      </c>
      <c r="F10" s="5">
        <f t="shared" si="0"/>
        <v>2</v>
      </c>
      <c r="G10" s="5">
        <f t="shared" si="0"/>
        <v>2</v>
      </c>
      <c r="H10" s="6">
        <f>G10</f>
        <v>2</v>
      </c>
      <c r="J10" s="5">
        <v>0</v>
      </c>
      <c r="K10" s="5">
        <f t="shared" si="1"/>
        <v>8.4269662921348312E-3</v>
      </c>
      <c r="L10" s="5">
        <f t="shared" si="1"/>
        <v>1.6853932584269662E-2</v>
      </c>
      <c r="M10" s="5">
        <f t="shared" si="1"/>
        <v>2.5280898876404494E-2</v>
      </c>
      <c r="N10" s="5">
        <f t="shared" si="1"/>
        <v>4.2134831460674156E-2</v>
      </c>
      <c r="O10" s="6">
        <f t="shared" si="3"/>
        <v>9.269662921348315E-2</v>
      </c>
      <c r="Q10" s="5">
        <f t="shared" si="2"/>
        <v>0</v>
      </c>
      <c r="R10" s="5">
        <f t="shared" si="2"/>
        <v>1.9915730337078652</v>
      </c>
      <c r="S10" s="5">
        <f t="shared" si="2"/>
        <v>1.9831460674157304</v>
      </c>
      <c r="T10" s="5">
        <f t="shared" si="2"/>
        <v>1.9747191011235956</v>
      </c>
      <c r="U10" s="5">
        <f t="shared" si="2"/>
        <v>1.9578651685393258</v>
      </c>
      <c r="V10" s="6">
        <f>U10</f>
        <v>1.9578651685393258</v>
      </c>
    </row>
    <row r="11" spans="1:25" x14ac:dyDescent="0.25">
      <c r="A11">
        <v>4</v>
      </c>
      <c r="B11" t="s">
        <v>150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>G11</f>
        <v>0</v>
      </c>
      <c r="J11" s="5"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6">
        <f t="shared" ref="O11" si="4">SUM(J11:N11)</f>
        <v>0</v>
      </c>
      <c r="Q11" s="5">
        <f t="shared" si="2"/>
        <v>0</v>
      </c>
      <c r="R11" s="5">
        <f t="shared" si="2"/>
        <v>0</v>
      </c>
      <c r="S11" s="5">
        <f t="shared" si="2"/>
        <v>0</v>
      </c>
      <c r="T11" s="5">
        <f t="shared" si="2"/>
        <v>0</v>
      </c>
      <c r="U11" s="5">
        <f t="shared" si="2"/>
        <v>0</v>
      </c>
      <c r="V11" s="6">
        <f>U11</f>
        <v>0</v>
      </c>
    </row>
    <row r="12" spans="1:25" x14ac:dyDescent="0.25">
      <c r="A12" s="12"/>
      <c r="B12" s="12"/>
      <c r="C12" s="11">
        <f t="shared" ref="C12:H12" si="5">SUM(C8:C11)</f>
        <v>13</v>
      </c>
      <c r="D12" s="11">
        <f t="shared" si="5"/>
        <v>17</v>
      </c>
      <c r="E12" s="11">
        <f t="shared" si="5"/>
        <v>310</v>
      </c>
      <c r="F12" s="11">
        <f t="shared" si="5"/>
        <v>701</v>
      </c>
      <c r="G12" s="11">
        <f t="shared" si="5"/>
        <v>935</v>
      </c>
      <c r="H12" s="11">
        <f t="shared" si="5"/>
        <v>935</v>
      </c>
      <c r="J12" s="11">
        <f t="shared" ref="J12:O12" si="6">SUM(J8:J11)</f>
        <v>3</v>
      </c>
      <c r="K12" s="11">
        <f t="shared" si="6"/>
        <v>3.0917602996254683</v>
      </c>
      <c r="L12" s="11">
        <f t="shared" si="6"/>
        <v>22.308520599250937</v>
      </c>
      <c r="M12" s="11">
        <f t="shared" si="6"/>
        <v>65.962780898876403</v>
      </c>
      <c r="N12" s="11">
        <f t="shared" si="6"/>
        <v>124.250468164794</v>
      </c>
      <c r="O12" s="11">
        <f t="shared" si="6"/>
        <v>218.61352996254683</v>
      </c>
      <c r="Q12" s="11">
        <f>SUM(Q8:Q11)</f>
        <v>10</v>
      </c>
      <c r="R12" s="11">
        <f t="shared" ref="R12:V12" si="7">SUM(R8:R11)</f>
        <v>13.908239700374532</v>
      </c>
      <c r="S12" s="11">
        <f t="shared" si="7"/>
        <v>287.69147940074902</v>
      </c>
      <c r="T12" s="11">
        <f t="shared" si="7"/>
        <v>635.03721910112358</v>
      </c>
      <c r="U12" s="11">
        <f t="shared" si="7"/>
        <v>810.74953183520597</v>
      </c>
      <c r="V12" s="11">
        <f t="shared" si="7"/>
        <v>810.74953183520597</v>
      </c>
    </row>
    <row r="13" spans="1:25" x14ac:dyDescent="0.25">
      <c r="C13" s="5"/>
      <c r="D13" s="5"/>
      <c r="E13" s="5"/>
      <c r="F13" s="5"/>
      <c r="G13" s="5"/>
      <c r="H13" s="5"/>
      <c r="J13" s="5"/>
      <c r="K13" s="5"/>
      <c r="L13" s="5"/>
      <c r="M13" s="5"/>
      <c r="N13" s="5"/>
      <c r="O13" s="5"/>
      <c r="Q13" s="5"/>
      <c r="R13" s="5"/>
      <c r="S13" s="5"/>
      <c r="T13" s="5"/>
      <c r="U13" s="5"/>
      <c r="V13" s="5"/>
    </row>
    <row r="14" spans="1:25" x14ac:dyDescent="0.25">
      <c r="B14" s="8" t="s">
        <v>67</v>
      </c>
      <c r="C14" s="5"/>
      <c r="D14" s="5"/>
      <c r="E14" s="5"/>
      <c r="F14" s="5"/>
      <c r="G14" s="5"/>
      <c r="H14" s="5"/>
      <c r="J14" s="6" t="s">
        <v>147</v>
      </c>
      <c r="K14" s="5"/>
      <c r="L14" s="5"/>
      <c r="M14" s="5"/>
      <c r="N14" s="5"/>
      <c r="O14" s="5"/>
      <c r="Q14" s="43"/>
      <c r="R14" s="44"/>
      <c r="S14" s="44"/>
      <c r="T14" s="44"/>
      <c r="U14" s="44"/>
      <c r="V14" s="44"/>
      <c r="W14" s="45"/>
      <c r="X14" s="45"/>
      <c r="Y14" s="45"/>
    </row>
    <row r="15" spans="1:25" x14ac:dyDescent="0.25">
      <c r="A15" s="15"/>
      <c r="B15" s="16"/>
      <c r="C15" s="17"/>
      <c r="D15" s="17" t="s">
        <v>4</v>
      </c>
      <c r="E15" s="17" t="s">
        <v>5</v>
      </c>
      <c r="F15" s="17" t="s">
        <v>6</v>
      </c>
      <c r="G15" s="17" t="s">
        <v>7</v>
      </c>
      <c r="H15" s="17">
        <v>2021</v>
      </c>
      <c r="J15" s="17"/>
      <c r="K15" s="17" t="s">
        <v>4</v>
      </c>
      <c r="L15" s="17" t="s">
        <v>5</v>
      </c>
      <c r="M15" s="17" t="s">
        <v>6</v>
      </c>
      <c r="N15" s="17" t="s">
        <v>7</v>
      </c>
      <c r="O15" s="17">
        <v>2021</v>
      </c>
      <c r="Q15" s="46"/>
      <c r="R15" s="46"/>
      <c r="S15" s="46"/>
      <c r="T15" s="46"/>
      <c r="U15" s="46"/>
      <c r="V15" s="46"/>
      <c r="W15" s="45"/>
      <c r="X15" s="45"/>
      <c r="Y15" s="45"/>
    </row>
    <row r="16" spans="1:25" x14ac:dyDescent="0.25">
      <c r="A16" s="15"/>
      <c r="B16" s="16"/>
      <c r="C16" s="18"/>
      <c r="D16" s="18" t="s">
        <v>9</v>
      </c>
      <c r="E16" s="18" t="s">
        <v>9</v>
      </c>
      <c r="F16" s="18" t="s">
        <v>9</v>
      </c>
      <c r="G16" s="18" t="s">
        <v>9</v>
      </c>
      <c r="H16" s="18" t="s">
        <v>9</v>
      </c>
      <c r="J16" s="18"/>
      <c r="K16" s="18" t="s">
        <v>9</v>
      </c>
      <c r="L16" s="18" t="s">
        <v>9</v>
      </c>
      <c r="M16" s="18" t="s">
        <v>9</v>
      </c>
      <c r="N16" s="18" t="s">
        <v>9</v>
      </c>
      <c r="O16" s="18" t="s">
        <v>9</v>
      </c>
      <c r="Q16" s="47"/>
      <c r="R16" s="47"/>
      <c r="S16" s="47"/>
      <c r="T16" s="47"/>
      <c r="U16" s="47"/>
      <c r="V16" s="47"/>
      <c r="W16" s="45"/>
      <c r="X16" s="45"/>
      <c r="Y16" s="45"/>
    </row>
    <row r="17" spans="1:25" x14ac:dyDescent="0.25">
      <c r="Q17" s="45"/>
      <c r="R17" s="45"/>
      <c r="S17" s="45"/>
      <c r="T17" s="45"/>
      <c r="U17" s="45"/>
      <c r="V17" s="45"/>
      <c r="W17" s="45"/>
      <c r="X17" s="45"/>
      <c r="Y17" s="45"/>
    </row>
    <row r="18" spans="1:25" x14ac:dyDescent="0.25">
      <c r="A18">
        <v>1</v>
      </c>
      <c r="B18" t="s">
        <v>63</v>
      </c>
      <c r="C18" s="5"/>
      <c r="D18" s="5">
        <v>0</v>
      </c>
      <c r="E18" s="5">
        <v>293</v>
      </c>
      <c r="F18" s="5">
        <v>391</v>
      </c>
      <c r="G18" s="5">
        <v>234</v>
      </c>
      <c r="H18" s="6">
        <f>SUM(D18:G18)</f>
        <v>918</v>
      </c>
      <c r="J18" s="5"/>
      <c r="K18" s="5">
        <v>0</v>
      </c>
      <c r="L18" s="5">
        <f>(D8+E18)/48*3</f>
        <v>19.125</v>
      </c>
      <c r="M18" s="5">
        <f>(E8+F18)/48*3</f>
        <v>43.5625</v>
      </c>
      <c r="N18" s="5">
        <f>(F8+G18)/48*3</f>
        <v>58.1875</v>
      </c>
      <c r="O18" s="6">
        <f>SUM(K18:N18)</f>
        <v>120.875</v>
      </c>
      <c r="Q18" s="44"/>
      <c r="R18" s="44"/>
      <c r="S18" s="44"/>
      <c r="T18" s="44"/>
      <c r="U18" s="44"/>
      <c r="V18" s="43"/>
      <c r="W18" s="45"/>
      <c r="X18" s="45"/>
      <c r="Y18" s="45"/>
    </row>
    <row r="19" spans="1:25" x14ac:dyDescent="0.25">
      <c r="A19">
        <v>2</v>
      </c>
      <c r="B19" t="s">
        <v>64</v>
      </c>
      <c r="C19" s="5"/>
      <c r="D19" s="5">
        <v>2</v>
      </c>
      <c r="E19" s="5">
        <v>0</v>
      </c>
      <c r="F19" s="5">
        <v>0</v>
      </c>
      <c r="G19" s="5">
        <v>0</v>
      </c>
      <c r="H19" s="6">
        <f t="shared" ref="H19:H21" si="8">SUM(D19:G19)</f>
        <v>2</v>
      </c>
      <c r="J19" s="5"/>
      <c r="K19" s="5">
        <f>(C9+D19)/72*3</f>
        <v>8.3333333333333329E-2</v>
      </c>
      <c r="L19" s="5">
        <f>(D9+E19)/72*3</f>
        <v>8.3333333333333329E-2</v>
      </c>
      <c r="M19" s="5">
        <f>(E9+F19)/72*3</f>
        <v>8.3333333333333329E-2</v>
      </c>
      <c r="N19" s="5">
        <f>(F9+G19)/72*3</f>
        <v>8.3333333333333329E-2</v>
      </c>
      <c r="O19" s="6">
        <f>SUM(K19:N19)</f>
        <v>0.33333333333333331</v>
      </c>
      <c r="Q19" s="44"/>
      <c r="R19" s="44"/>
      <c r="S19" s="44"/>
      <c r="T19" s="44"/>
      <c r="U19" s="44"/>
      <c r="V19" s="43"/>
      <c r="W19" s="45"/>
      <c r="X19" s="45"/>
      <c r="Y19" s="45"/>
    </row>
    <row r="20" spans="1:25" x14ac:dyDescent="0.25">
      <c r="A20">
        <v>3</v>
      </c>
      <c r="B20" t="s">
        <v>65</v>
      </c>
      <c r="C20" s="5"/>
      <c r="D20" s="5">
        <v>2</v>
      </c>
      <c r="E20" s="5">
        <v>0</v>
      </c>
      <c r="F20" s="5">
        <v>0</v>
      </c>
      <c r="G20" s="5">
        <v>0</v>
      </c>
      <c r="H20" s="6">
        <f t="shared" si="8"/>
        <v>2</v>
      </c>
      <c r="J20" s="5"/>
      <c r="K20" s="5">
        <f>(D10+E20)/712*3</f>
        <v>8.4269662921348312E-3</v>
      </c>
      <c r="L20" s="5">
        <f>(E10+F20)/712*3</f>
        <v>8.4269662921348312E-3</v>
      </c>
      <c r="M20" s="5">
        <f>(F10+G20)/712*3</f>
        <v>8.4269662921348312E-3</v>
      </c>
      <c r="N20" s="5">
        <f>(G10+H20)/712*3</f>
        <v>1.6853932584269662E-2</v>
      </c>
      <c r="O20" s="6">
        <f>SUM(K20:N20)</f>
        <v>4.2134831460674156E-2</v>
      </c>
      <c r="Q20" s="44"/>
      <c r="R20" s="44"/>
      <c r="S20" s="44"/>
      <c r="T20" s="44"/>
      <c r="U20" s="44"/>
      <c r="V20" s="43"/>
      <c r="W20" s="45"/>
      <c r="X20" s="45"/>
      <c r="Y20" s="45"/>
    </row>
    <row r="21" spans="1:25" x14ac:dyDescent="0.25">
      <c r="A21">
        <v>4</v>
      </c>
      <c r="B21" t="s">
        <v>150</v>
      </c>
      <c r="C21" s="5"/>
      <c r="D21" s="5">
        <v>4</v>
      </c>
      <c r="E21" s="5">
        <v>0</v>
      </c>
      <c r="F21" s="5">
        <v>0</v>
      </c>
      <c r="G21" s="5">
        <v>0</v>
      </c>
      <c r="H21" s="6">
        <f t="shared" si="8"/>
        <v>4</v>
      </c>
      <c r="J21" s="5"/>
      <c r="K21" s="5">
        <v>0</v>
      </c>
      <c r="L21" s="5"/>
      <c r="M21" s="5"/>
      <c r="N21" s="5"/>
      <c r="O21" s="6">
        <f t="shared" ref="O21" si="9">SUM(K21:N21)</f>
        <v>0</v>
      </c>
      <c r="Q21" s="44"/>
      <c r="R21" s="44"/>
      <c r="S21" s="44"/>
      <c r="T21" s="44"/>
      <c r="U21" s="44"/>
      <c r="V21" s="43"/>
      <c r="W21" s="45"/>
      <c r="X21" s="45"/>
      <c r="Y21" s="45"/>
    </row>
    <row r="22" spans="1:25" x14ac:dyDescent="0.25">
      <c r="A22" s="12"/>
      <c r="B22" s="12"/>
      <c r="C22" s="11"/>
      <c r="D22" s="11">
        <f>SUM(D18:D21)</f>
        <v>8</v>
      </c>
      <c r="E22" s="11">
        <f t="shared" ref="E22:H22" si="10">SUM(E18:E21)</f>
        <v>293</v>
      </c>
      <c r="F22" s="11">
        <f t="shared" si="10"/>
        <v>391</v>
      </c>
      <c r="G22" s="11">
        <f t="shared" si="10"/>
        <v>234</v>
      </c>
      <c r="H22" s="11">
        <f t="shared" si="10"/>
        <v>926</v>
      </c>
      <c r="J22" s="11">
        <f t="shared" ref="J22:O22" si="11">SUM(J18:J21)</f>
        <v>0</v>
      </c>
      <c r="K22" s="11">
        <f t="shared" si="11"/>
        <v>9.1760299625468167E-2</v>
      </c>
      <c r="L22" s="11">
        <f t="shared" si="11"/>
        <v>19.216760299625467</v>
      </c>
      <c r="M22" s="11">
        <f t="shared" si="11"/>
        <v>43.65426029962547</v>
      </c>
      <c r="N22" s="11">
        <f t="shared" si="11"/>
        <v>58.287687265917604</v>
      </c>
      <c r="O22" s="11">
        <f t="shared" si="11"/>
        <v>121.250468164794</v>
      </c>
      <c r="Q22" s="43"/>
      <c r="R22" s="43"/>
      <c r="S22" s="43"/>
      <c r="T22" s="43"/>
      <c r="U22" s="43"/>
      <c r="V22" s="43"/>
      <c r="W22" s="45"/>
      <c r="X22" s="45"/>
      <c r="Y22" s="45"/>
    </row>
    <row r="23" spans="1:25" x14ac:dyDescent="0.25">
      <c r="Q23" s="45"/>
      <c r="R23" s="45"/>
      <c r="S23" s="45"/>
      <c r="T23" s="45"/>
      <c r="U23" s="45"/>
      <c r="V23" s="45"/>
      <c r="W23" s="45"/>
      <c r="X23" s="45"/>
      <c r="Y23" s="45"/>
    </row>
    <row r="24" spans="1:25" x14ac:dyDescent="0.25">
      <c r="B24" s="8" t="s">
        <v>68</v>
      </c>
      <c r="J24" s="8" t="s">
        <v>62</v>
      </c>
      <c r="Q24" s="48"/>
      <c r="R24" s="45"/>
      <c r="S24" s="45"/>
      <c r="T24" s="45"/>
      <c r="U24" s="45"/>
      <c r="V24" s="45"/>
      <c r="W24" s="45"/>
      <c r="X24" s="45"/>
      <c r="Y24" s="45"/>
    </row>
    <row r="25" spans="1:25" x14ac:dyDescent="0.25">
      <c r="A25" s="15"/>
      <c r="B25" s="16"/>
      <c r="C25" s="17"/>
      <c r="D25" s="17" t="s">
        <v>4</v>
      </c>
      <c r="E25" s="17" t="s">
        <v>5</v>
      </c>
      <c r="F25" s="17" t="s">
        <v>6</v>
      </c>
      <c r="G25" s="17" t="s">
        <v>7</v>
      </c>
      <c r="H25" s="17">
        <v>2021</v>
      </c>
      <c r="J25" s="17"/>
      <c r="K25" s="17" t="s">
        <v>4</v>
      </c>
      <c r="L25" s="17" t="s">
        <v>5</v>
      </c>
      <c r="M25" s="17" t="s">
        <v>6</v>
      </c>
      <c r="N25" s="17" t="s">
        <v>7</v>
      </c>
      <c r="O25" s="17">
        <v>2021</v>
      </c>
      <c r="Q25" s="46"/>
      <c r="R25" s="46"/>
      <c r="S25" s="46"/>
      <c r="T25" s="46"/>
      <c r="U25" s="46"/>
      <c r="V25" s="46"/>
      <c r="W25" s="45"/>
      <c r="X25" s="45"/>
      <c r="Y25" s="45"/>
    </row>
    <row r="26" spans="1:25" x14ac:dyDescent="0.25">
      <c r="A26" s="15"/>
      <c r="B26" s="16"/>
      <c r="C26" s="18"/>
      <c r="D26" s="18" t="s">
        <v>9</v>
      </c>
      <c r="E26" s="18" t="s">
        <v>9</v>
      </c>
      <c r="F26" s="18" t="s">
        <v>9</v>
      </c>
      <c r="G26" s="18" t="s">
        <v>9</v>
      </c>
      <c r="H26" s="18" t="s">
        <v>9</v>
      </c>
      <c r="J26" s="18"/>
      <c r="K26" s="18" t="s">
        <v>9</v>
      </c>
      <c r="L26" s="18" t="s">
        <v>9</v>
      </c>
      <c r="M26" s="18" t="s">
        <v>9</v>
      </c>
      <c r="N26" s="18" t="s">
        <v>9</v>
      </c>
      <c r="O26" s="18" t="s">
        <v>9</v>
      </c>
      <c r="Q26" s="47"/>
      <c r="R26" s="47"/>
      <c r="S26" s="47"/>
      <c r="T26" s="47"/>
      <c r="U26" s="47"/>
      <c r="V26" s="47"/>
      <c r="W26" s="45"/>
      <c r="X26" s="45"/>
      <c r="Y26" s="45"/>
    </row>
    <row r="27" spans="1:25" x14ac:dyDescent="0.25">
      <c r="Q27" s="45"/>
      <c r="R27" s="45"/>
      <c r="S27" s="45"/>
      <c r="T27" s="45"/>
      <c r="U27" s="45"/>
      <c r="V27" s="45"/>
      <c r="W27" s="45"/>
      <c r="X27" s="45"/>
      <c r="Y27" s="45"/>
    </row>
    <row r="28" spans="1:25" x14ac:dyDescent="0.25">
      <c r="A28">
        <v>1</v>
      </c>
      <c r="B28" t="s">
        <v>63</v>
      </c>
      <c r="C28" s="5"/>
      <c r="D28" s="5">
        <v>0</v>
      </c>
      <c r="E28" s="5">
        <v>0</v>
      </c>
      <c r="F28" s="5">
        <v>0</v>
      </c>
      <c r="G28" s="5">
        <v>0</v>
      </c>
      <c r="H28" s="6">
        <f t="shared" ref="H28:H31" si="12">SUM(D28:G28)</f>
        <v>0</v>
      </c>
      <c r="J28" s="5"/>
      <c r="K28" s="5">
        <v>0</v>
      </c>
      <c r="L28" s="5">
        <v>0</v>
      </c>
      <c r="M28" s="5">
        <v>0</v>
      </c>
      <c r="N28" s="5">
        <v>0</v>
      </c>
      <c r="O28" s="6">
        <f>SUM(K28:N28)</f>
        <v>0</v>
      </c>
      <c r="Q28" s="44"/>
      <c r="R28" s="44"/>
      <c r="S28" s="44"/>
      <c r="T28" s="44"/>
      <c r="U28" s="44"/>
      <c r="V28" s="43"/>
      <c r="W28" s="45"/>
      <c r="X28" s="45"/>
      <c r="Y28" s="45"/>
    </row>
    <row r="29" spans="1:25" x14ac:dyDescent="0.25">
      <c r="A29">
        <v>2</v>
      </c>
      <c r="B29" t="s">
        <v>64</v>
      </c>
      <c r="C29" s="5"/>
      <c r="D29" s="5">
        <v>0</v>
      </c>
      <c r="E29" s="5">
        <v>0</v>
      </c>
      <c r="F29" s="5">
        <v>0</v>
      </c>
      <c r="G29" s="5">
        <v>0</v>
      </c>
      <c r="H29" s="6">
        <f t="shared" si="12"/>
        <v>0</v>
      </c>
      <c r="J29" s="5"/>
      <c r="K29" s="5">
        <v>0</v>
      </c>
      <c r="L29" s="5">
        <v>0</v>
      </c>
      <c r="M29" s="5">
        <v>0</v>
      </c>
      <c r="N29" s="5">
        <v>0</v>
      </c>
      <c r="O29" s="6">
        <f t="shared" ref="O29:O31" si="13">SUM(K29:N29)</f>
        <v>0</v>
      </c>
      <c r="Q29" s="44"/>
      <c r="R29" s="44"/>
      <c r="S29" s="44"/>
      <c r="T29" s="44"/>
      <c r="U29" s="44"/>
      <c r="V29" s="43"/>
      <c r="W29" s="45"/>
      <c r="X29" s="45"/>
      <c r="Y29" s="45"/>
    </row>
    <row r="30" spans="1:25" x14ac:dyDescent="0.25">
      <c r="A30">
        <v>3</v>
      </c>
      <c r="B30" t="s">
        <v>65</v>
      </c>
      <c r="C30" s="5"/>
      <c r="D30" s="5">
        <v>0</v>
      </c>
      <c r="E30" s="5">
        <v>0</v>
      </c>
      <c r="F30" s="5">
        <v>0</v>
      </c>
      <c r="G30" s="5">
        <v>0</v>
      </c>
      <c r="H30" s="6">
        <f t="shared" si="12"/>
        <v>0</v>
      </c>
      <c r="J30" s="5"/>
      <c r="K30" s="5">
        <v>0</v>
      </c>
      <c r="L30" s="5">
        <v>0</v>
      </c>
      <c r="M30" s="5">
        <v>0</v>
      </c>
      <c r="N30" s="5">
        <v>0</v>
      </c>
      <c r="O30" s="6">
        <f t="shared" si="13"/>
        <v>0</v>
      </c>
      <c r="Q30" s="44"/>
      <c r="R30" s="44"/>
      <c r="S30" s="44"/>
      <c r="T30" s="44"/>
      <c r="U30" s="44"/>
      <c r="V30" s="43"/>
      <c r="W30" s="45"/>
      <c r="X30" s="45"/>
      <c r="Y30" s="45"/>
    </row>
    <row r="31" spans="1:25" x14ac:dyDescent="0.25">
      <c r="A31">
        <v>4</v>
      </c>
      <c r="B31" t="s">
        <v>150</v>
      </c>
      <c r="C31" s="5"/>
      <c r="D31" s="5">
        <v>0</v>
      </c>
      <c r="E31" s="5">
        <v>0</v>
      </c>
      <c r="F31" s="5">
        <v>0</v>
      </c>
      <c r="G31" s="5">
        <v>0</v>
      </c>
      <c r="H31" s="6">
        <f t="shared" si="12"/>
        <v>0</v>
      </c>
      <c r="J31" s="5"/>
      <c r="K31" s="5">
        <v>0</v>
      </c>
      <c r="L31" s="5">
        <v>0</v>
      </c>
      <c r="M31" s="5">
        <v>0</v>
      </c>
      <c r="N31" s="5">
        <v>0</v>
      </c>
      <c r="O31" s="6">
        <f t="shared" si="13"/>
        <v>0</v>
      </c>
      <c r="Q31" s="44"/>
      <c r="R31" s="44"/>
      <c r="S31" s="44"/>
      <c r="T31" s="44"/>
      <c r="U31" s="44"/>
      <c r="V31" s="43"/>
      <c r="W31" s="45"/>
      <c r="X31" s="45"/>
      <c r="Y31" s="45"/>
    </row>
    <row r="32" spans="1:25" x14ac:dyDescent="0.25">
      <c r="A32" s="12"/>
      <c r="B32" s="12"/>
      <c r="C32" s="11"/>
      <c r="D32" s="11">
        <f>SUM(D28:D31)</f>
        <v>0</v>
      </c>
      <c r="E32" s="11">
        <f t="shared" ref="E32:H32" si="14">SUM(E28:E31)</f>
        <v>0</v>
      </c>
      <c r="F32" s="11">
        <f t="shared" si="14"/>
        <v>0</v>
      </c>
      <c r="G32" s="11">
        <f t="shared" si="14"/>
        <v>0</v>
      </c>
      <c r="H32" s="11">
        <f t="shared" si="14"/>
        <v>0</v>
      </c>
      <c r="J32" s="11"/>
      <c r="K32" s="11">
        <f t="shared" ref="K32:O32" si="15">SUM(K28:K31)</f>
        <v>0</v>
      </c>
      <c r="L32" s="11">
        <f t="shared" si="15"/>
        <v>0</v>
      </c>
      <c r="M32" s="11">
        <f t="shared" si="15"/>
        <v>0</v>
      </c>
      <c r="N32" s="11">
        <f t="shared" si="15"/>
        <v>0</v>
      </c>
      <c r="O32" s="11">
        <f t="shared" si="15"/>
        <v>0</v>
      </c>
      <c r="Q32" s="43"/>
      <c r="R32" s="43"/>
      <c r="S32" s="43"/>
      <c r="T32" s="43"/>
      <c r="U32" s="43"/>
      <c r="V32" s="43"/>
      <c r="W32" s="45"/>
      <c r="X32" s="45"/>
      <c r="Y32" s="45"/>
    </row>
    <row r="33" spans="17:25" x14ac:dyDescent="0.25">
      <c r="Q33" s="45"/>
      <c r="R33" s="45"/>
      <c r="S33" s="45"/>
      <c r="T33" s="45"/>
      <c r="U33" s="45"/>
      <c r="V33" s="45"/>
      <c r="W33" s="45"/>
      <c r="X33" s="45"/>
      <c r="Y33" s="45"/>
    </row>
    <row r="34" spans="17:25" x14ac:dyDescent="0.25">
      <c r="Q34" s="45"/>
      <c r="R34" s="45"/>
      <c r="S34" s="45"/>
      <c r="T34" s="45"/>
      <c r="U34" s="45"/>
      <c r="V34" s="45"/>
      <c r="W34" s="45"/>
      <c r="X34" s="45"/>
      <c r="Y34" s="45"/>
    </row>
    <row r="35" spans="17:25" x14ac:dyDescent="0.25">
      <c r="Q35" s="45"/>
      <c r="R35" s="45"/>
      <c r="S35" s="45"/>
      <c r="T35" s="45"/>
      <c r="U35" s="45"/>
      <c r="V35" s="45"/>
      <c r="W35" s="45"/>
      <c r="X35" s="45"/>
      <c r="Y35" s="45"/>
    </row>
    <row r="36" spans="17:25" x14ac:dyDescent="0.25">
      <c r="Q36" s="45"/>
      <c r="R36" s="45"/>
      <c r="S36" s="45"/>
      <c r="T36" s="45"/>
      <c r="U36" s="45"/>
      <c r="V36" s="45"/>
      <c r="W36" s="45"/>
      <c r="X36" s="45"/>
      <c r="Y36" s="45"/>
    </row>
    <row r="37" spans="17:25" x14ac:dyDescent="0.25">
      <c r="Q37" s="45"/>
      <c r="R37" s="45"/>
      <c r="S37" s="45"/>
      <c r="T37" s="45"/>
      <c r="U37" s="45"/>
      <c r="V37" s="45"/>
      <c r="W37" s="45"/>
      <c r="X37" s="45"/>
      <c r="Y37" s="45"/>
    </row>
    <row r="38" spans="17:25" x14ac:dyDescent="0.25">
      <c r="Q38" s="45"/>
      <c r="R38" s="45"/>
      <c r="S38" s="45"/>
      <c r="T38" s="45"/>
      <c r="U38" s="45"/>
      <c r="V38" s="45"/>
      <c r="W38" s="45"/>
      <c r="X38" s="45"/>
      <c r="Y38" s="45"/>
    </row>
    <row r="39" spans="17:25" x14ac:dyDescent="0.25">
      <c r="Q39" s="45"/>
      <c r="R39" s="45"/>
      <c r="S39" s="45"/>
      <c r="T39" s="45"/>
      <c r="U39" s="45"/>
      <c r="V39" s="45"/>
      <c r="W39" s="45"/>
      <c r="X39" s="45"/>
      <c r="Y39" s="45"/>
    </row>
    <row r="40" spans="17:25" x14ac:dyDescent="0.25">
      <c r="Q40" s="45"/>
      <c r="R40" s="45"/>
      <c r="S40" s="45"/>
      <c r="T40" s="45"/>
      <c r="U40" s="45"/>
      <c r="V40" s="45"/>
      <c r="W40" s="45"/>
      <c r="X40" s="45"/>
      <c r="Y40" s="45"/>
    </row>
    <row r="41" spans="17:25" x14ac:dyDescent="0.25">
      <c r="Q41" s="45"/>
      <c r="R41" s="45"/>
      <c r="S41" s="45"/>
      <c r="T41" s="45"/>
      <c r="U41" s="45"/>
      <c r="V41" s="45"/>
      <c r="W41" s="45"/>
      <c r="X41" s="45"/>
      <c r="Y41" s="45"/>
    </row>
    <row r="42" spans="17:25" x14ac:dyDescent="0.25">
      <c r="Q42" s="45"/>
      <c r="R42" s="45"/>
      <c r="S42" s="45"/>
      <c r="T42" s="45"/>
      <c r="U42" s="45"/>
      <c r="V42" s="45"/>
      <c r="W42" s="45"/>
      <c r="X42" s="45"/>
      <c r="Y42" s="45"/>
    </row>
    <row r="43" spans="17:25" x14ac:dyDescent="0.25">
      <c r="Q43" s="45"/>
      <c r="R43" s="45"/>
      <c r="S43" s="45"/>
      <c r="T43" s="45"/>
      <c r="U43" s="45"/>
      <c r="V43" s="45"/>
      <c r="W43" s="45"/>
      <c r="X43" s="45"/>
      <c r="Y43" s="45"/>
    </row>
    <row r="44" spans="17:25" x14ac:dyDescent="0.25">
      <c r="Q44" s="45"/>
      <c r="R44" s="45"/>
      <c r="S44" s="45"/>
      <c r="T44" s="45"/>
      <c r="U44" s="45"/>
      <c r="V44" s="45"/>
      <c r="W44" s="45"/>
      <c r="X44" s="45"/>
      <c r="Y44" s="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H31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25.5" bestFit="1" customWidth="1"/>
    <col min="3" max="3" width="12.125" bestFit="1" customWidth="1"/>
    <col min="4" max="8" width="8.5" bestFit="1" customWidth="1"/>
  </cols>
  <sheetData>
    <row r="3" spans="1:8" x14ac:dyDescent="0.25">
      <c r="B3" s="8" t="s">
        <v>60</v>
      </c>
    </row>
    <row r="4" spans="1:8" x14ac:dyDescent="0.25">
      <c r="A4" s="15"/>
      <c r="B4" s="16"/>
      <c r="C4" s="17" t="s">
        <v>59</v>
      </c>
      <c r="D4" s="17" t="s">
        <v>4</v>
      </c>
      <c r="E4" s="17" t="s">
        <v>5</v>
      </c>
      <c r="F4" s="17" t="s">
        <v>6</v>
      </c>
      <c r="G4" s="17" t="s">
        <v>7</v>
      </c>
      <c r="H4" s="17">
        <v>2021</v>
      </c>
    </row>
    <row r="5" spans="1:8" x14ac:dyDescent="0.25">
      <c r="A5" s="15"/>
      <c r="B5" s="16"/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  <c r="H5" s="18" t="s">
        <v>9</v>
      </c>
    </row>
    <row r="7" spans="1:8" x14ac:dyDescent="0.25">
      <c r="A7">
        <v>1</v>
      </c>
      <c r="B7" t="s">
        <v>31</v>
      </c>
      <c r="C7" s="5">
        <v>198</v>
      </c>
      <c r="D7" s="5">
        <f t="shared" ref="D7:G10" si="0">C7+D17-D27</f>
        <v>192</v>
      </c>
      <c r="E7" s="5">
        <f t="shared" si="0"/>
        <v>228</v>
      </c>
      <c r="F7" s="5">
        <f t="shared" si="0"/>
        <v>264</v>
      </c>
      <c r="G7" s="5">
        <f t="shared" si="0"/>
        <v>300</v>
      </c>
      <c r="H7" s="6">
        <f>G7</f>
        <v>300</v>
      </c>
    </row>
    <row r="8" spans="1:8" x14ac:dyDescent="0.25">
      <c r="A8">
        <v>2</v>
      </c>
      <c r="B8" t="s">
        <v>82</v>
      </c>
      <c r="C8" s="5">
        <f>WIP!C11</f>
        <v>0</v>
      </c>
      <c r="D8" s="5">
        <f t="shared" si="0"/>
        <v>53.170468164793988</v>
      </c>
      <c r="E8" s="5">
        <f t="shared" si="0"/>
        <v>182.04268632958801</v>
      </c>
      <c r="F8" s="5">
        <f t="shared" si="0"/>
        <v>336.14452949438203</v>
      </c>
      <c r="G8" s="5">
        <f t="shared" si="0"/>
        <v>532.47434379063668</v>
      </c>
      <c r="H8" s="6">
        <f t="shared" ref="H8:H10" si="1">G8</f>
        <v>532.47434379063668</v>
      </c>
    </row>
    <row r="9" spans="1:8" x14ac:dyDescent="0.25">
      <c r="A9">
        <v>4</v>
      </c>
      <c r="B9" t="s">
        <v>32</v>
      </c>
      <c r="C9" s="5">
        <v>225</v>
      </c>
      <c r="D9" s="5">
        <f t="shared" si="0"/>
        <v>225</v>
      </c>
      <c r="E9" s="5">
        <f t="shared" si="0"/>
        <v>225</v>
      </c>
      <c r="F9" s="5">
        <f t="shared" si="0"/>
        <v>225</v>
      </c>
      <c r="G9" s="5">
        <f t="shared" si="0"/>
        <v>757.47</v>
      </c>
      <c r="H9" s="6">
        <f t="shared" si="1"/>
        <v>757.47</v>
      </c>
    </row>
    <row r="10" spans="1:8" x14ac:dyDescent="0.25">
      <c r="A10">
        <v>4</v>
      </c>
      <c r="B10" t="s">
        <v>1</v>
      </c>
      <c r="C10" s="5">
        <v>30</v>
      </c>
      <c r="D10" s="5">
        <f t="shared" si="0"/>
        <v>74.499999999999986</v>
      </c>
      <c r="E10" s="5">
        <f t="shared" si="0"/>
        <v>79.5</v>
      </c>
      <c r="F10" s="5">
        <f t="shared" si="0"/>
        <v>84.5</v>
      </c>
      <c r="G10" s="5">
        <f t="shared" si="0"/>
        <v>89.5</v>
      </c>
      <c r="H10" s="6">
        <f t="shared" si="1"/>
        <v>89.5</v>
      </c>
    </row>
    <row r="11" spans="1:8" x14ac:dyDescent="0.25">
      <c r="A11" s="12"/>
      <c r="B11" s="12"/>
      <c r="C11" s="11">
        <f>SUM(C7:C10)</f>
        <v>453</v>
      </c>
      <c r="D11" s="11">
        <f t="shared" ref="D11:H11" si="2">SUM(D7:D10)</f>
        <v>544.67046816479399</v>
      </c>
      <c r="E11" s="11">
        <f t="shared" si="2"/>
        <v>714.54268632958804</v>
      </c>
      <c r="F11" s="11">
        <f t="shared" si="2"/>
        <v>909.64452949438203</v>
      </c>
      <c r="G11" s="11">
        <f t="shared" si="2"/>
        <v>1679.4443437906366</v>
      </c>
      <c r="H11" s="11">
        <f t="shared" si="2"/>
        <v>1679.4443437906366</v>
      </c>
    </row>
    <row r="12" spans="1:8" x14ac:dyDescent="0.25">
      <c r="C12" s="5"/>
      <c r="D12" s="5"/>
      <c r="E12" s="5"/>
      <c r="F12" s="5"/>
      <c r="G12" s="5"/>
      <c r="H12" s="5"/>
    </row>
    <row r="13" spans="1:8" x14ac:dyDescent="0.25">
      <c r="B13" s="8" t="s">
        <v>156</v>
      </c>
      <c r="C13" s="5"/>
      <c r="D13" s="5"/>
      <c r="E13" s="5"/>
      <c r="F13" s="5"/>
      <c r="G13" s="5"/>
      <c r="H13" s="5"/>
    </row>
    <row r="14" spans="1:8" x14ac:dyDescent="0.25">
      <c r="A14" s="15"/>
      <c r="B14" s="16"/>
      <c r="C14" s="17"/>
      <c r="D14" s="17" t="s">
        <v>4</v>
      </c>
      <c r="E14" s="17" t="s">
        <v>5</v>
      </c>
      <c r="F14" s="17" t="s">
        <v>6</v>
      </c>
      <c r="G14" s="17" t="s">
        <v>7</v>
      </c>
      <c r="H14" s="17">
        <v>2021</v>
      </c>
    </row>
    <row r="15" spans="1:8" x14ac:dyDescent="0.25">
      <c r="A15" s="15"/>
      <c r="B15" s="16"/>
      <c r="C15" s="18"/>
      <c r="D15" s="18" t="s">
        <v>9</v>
      </c>
      <c r="E15" s="18" t="s">
        <v>9</v>
      </c>
      <c r="F15" s="18" t="s">
        <v>9</v>
      </c>
      <c r="G15" s="18" t="s">
        <v>9</v>
      </c>
      <c r="H15" s="18" t="s">
        <v>9</v>
      </c>
    </row>
    <row r="17" spans="1:8" x14ac:dyDescent="0.25">
      <c r="A17">
        <v>1</v>
      </c>
      <c r="B17" t="s">
        <v>31</v>
      </c>
      <c r="C17" s="5"/>
      <c r="D17" s="5">
        <v>17</v>
      </c>
      <c r="E17" s="5">
        <v>150</v>
      </c>
      <c r="F17" s="5">
        <v>150</v>
      </c>
      <c r="G17" s="5">
        <v>150</v>
      </c>
      <c r="H17" s="6">
        <f>SUM(D17:G17)</f>
        <v>467</v>
      </c>
    </row>
    <row r="18" spans="1:8" x14ac:dyDescent="0.25">
      <c r="A18">
        <v>2</v>
      </c>
      <c r="B18" t="s">
        <v>82</v>
      </c>
      <c r="C18" s="5"/>
      <c r="D18" s="5">
        <f>WIP!D21</f>
        <v>227.17046816479399</v>
      </c>
      <c r="E18" s="5">
        <f>WIP!E21</f>
        <v>128.87221816479402</v>
      </c>
      <c r="F18" s="5">
        <f>WIP!F21</f>
        <v>154.10184316479399</v>
      </c>
      <c r="G18" s="5">
        <f>WIP!G21</f>
        <v>196.32981429625468</v>
      </c>
      <c r="H18" s="6">
        <f t="shared" ref="H18:H19" si="3">SUM(D18:G18)</f>
        <v>706.47434379063668</v>
      </c>
    </row>
    <row r="19" spans="1:8" x14ac:dyDescent="0.25">
      <c r="A19">
        <v>4</v>
      </c>
      <c r="B19" t="s">
        <v>32</v>
      </c>
      <c r="C19" s="5"/>
      <c r="D19" s="5">
        <v>0</v>
      </c>
      <c r="E19" s="5">
        <v>0</v>
      </c>
      <c r="F19" s="5">
        <v>0</v>
      </c>
      <c r="G19" s="5">
        <f>WIP!H28</f>
        <v>532.47</v>
      </c>
      <c r="H19" s="6">
        <f t="shared" si="3"/>
        <v>532.47</v>
      </c>
    </row>
    <row r="20" spans="1:8" x14ac:dyDescent="0.25">
      <c r="A20">
        <v>4</v>
      </c>
      <c r="B20" t="s">
        <v>1</v>
      </c>
      <c r="C20" s="5"/>
      <c r="D20" s="5">
        <v>138</v>
      </c>
      <c r="E20" s="5">
        <v>170</v>
      </c>
      <c r="F20" s="5">
        <v>170</v>
      </c>
      <c r="G20" s="5">
        <v>170</v>
      </c>
      <c r="H20" s="6">
        <f>SUM(D20:G20)</f>
        <v>648</v>
      </c>
    </row>
    <row r="21" spans="1:8" x14ac:dyDescent="0.25">
      <c r="A21" s="12"/>
      <c r="B21" s="12"/>
      <c r="C21" s="11">
        <f>SUM(C17:C20)</f>
        <v>0</v>
      </c>
      <c r="D21" s="11">
        <f t="shared" ref="D21" si="4">SUM(D17:D20)</f>
        <v>382.17046816479399</v>
      </c>
      <c r="E21" s="11">
        <f t="shared" ref="E21" si="5">SUM(E17:E20)</f>
        <v>448.87221816479405</v>
      </c>
      <c r="F21" s="11">
        <f t="shared" ref="F21" si="6">SUM(F17:F20)</f>
        <v>474.10184316479399</v>
      </c>
      <c r="G21" s="11">
        <f t="shared" ref="G21" si="7">SUM(G17:G20)</f>
        <v>1048.7998142962547</v>
      </c>
      <c r="H21" s="10"/>
    </row>
    <row r="23" spans="1:8" x14ac:dyDescent="0.25">
      <c r="B23" s="8" t="s">
        <v>61</v>
      </c>
    </row>
    <row r="24" spans="1:8" x14ac:dyDescent="0.25">
      <c r="A24" s="15"/>
      <c r="B24" s="16"/>
      <c r="C24" s="17"/>
      <c r="D24" s="17" t="s">
        <v>4</v>
      </c>
      <c r="E24" s="17" t="s">
        <v>5</v>
      </c>
      <c r="F24" s="17" t="s">
        <v>6</v>
      </c>
      <c r="G24" s="17" t="s">
        <v>7</v>
      </c>
      <c r="H24" s="17">
        <v>2021</v>
      </c>
    </row>
    <row r="25" spans="1:8" x14ac:dyDescent="0.25">
      <c r="A25" s="15"/>
      <c r="B25" s="16"/>
      <c r="C25" s="18"/>
      <c r="D25" s="18" t="s">
        <v>9</v>
      </c>
      <c r="E25" s="18" t="s">
        <v>9</v>
      </c>
      <c r="F25" s="18" t="s">
        <v>9</v>
      </c>
      <c r="G25" s="18" t="s">
        <v>9</v>
      </c>
      <c r="H25" s="18" t="s">
        <v>9</v>
      </c>
    </row>
    <row r="27" spans="1:8" x14ac:dyDescent="0.25">
      <c r="A27">
        <v>1</v>
      </c>
      <c r="B27" t="s">
        <v>31</v>
      </c>
      <c r="C27" s="5"/>
      <c r="D27" s="5">
        <v>23</v>
      </c>
      <c r="E27" s="5">
        <f>Expenses!D8</f>
        <v>114</v>
      </c>
      <c r="F27" s="5">
        <f>Expenses!E8</f>
        <v>114</v>
      </c>
      <c r="G27" s="5">
        <f>Expenses!F8</f>
        <v>114</v>
      </c>
      <c r="H27" s="6">
        <f>SUM(D27:G27)</f>
        <v>365</v>
      </c>
    </row>
    <row r="28" spans="1:8" x14ac:dyDescent="0.25">
      <c r="A28">
        <v>2</v>
      </c>
      <c r="B28" t="s">
        <v>82</v>
      </c>
      <c r="C28" s="5"/>
      <c r="D28" s="5">
        <f>WIP!D31</f>
        <v>174</v>
      </c>
      <c r="E28" s="5"/>
      <c r="F28" s="5"/>
      <c r="G28" s="5"/>
      <c r="H28" s="6">
        <f>SUM(D28:G28)</f>
        <v>174</v>
      </c>
    </row>
    <row r="29" spans="1:8" x14ac:dyDescent="0.25">
      <c r="A29">
        <v>4</v>
      </c>
      <c r="B29" t="s">
        <v>32</v>
      </c>
      <c r="C29" s="5"/>
      <c r="D29" s="5">
        <v>0</v>
      </c>
      <c r="E29" s="5"/>
      <c r="F29" s="5"/>
      <c r="G29" s="5"/>
      <c r="H29" s="6">
        <f>SUM(D29:G29)</f>
        <v>0</v>
      </c>
    </row>
    <row r="30" spans="1:8" x14ac:dyDescent="0.25">
      <c r="A30">
        <v>4</v>
      </c>
      <c r="B30" t="s">
        <v>1</v>
      </c>
      <c r="C30" s="5"/>
      <c r="D30" s="5">
        <f>Expenses!C28</f>
        <v>93.500000000000014</v>
      </c>
      <c r="E30" s="5">
        <f>Expenses!D28</f>
        <v>165</v>
      </c>
      <c r="F30" s="5">
        <f>Expenses!E28</f>
        <v>165</v>
      </c>
      <c r="G30" s="5">
        <f>Expenses!F28</f>
        <v>165</v>
      </c>
      <c r="H30" s="6">
        <f>SUM(D30:G30)</f>
        <v>588.5</v>
      </c>
    </row>
    <row r="31" spans="1:8" x14ac:dyDescent="0.25">
      <c r="A31" s="12"/>
      <c r="B31" s="12"/>
      <c r="C31" s="11">
        <f>SUM(C27:C30)</f>
        <v>0</v>
      </c>
      <c r="D31" s="11">
        <f t="shared" ref="D31" si="8">SUM(D27:D30)</f>
        <v>290.5</v>
      </c>
      <c r="E31" s="11">
        <f t="shared" ref="E31" si="9">SUM(E27:E30)</f>
        <v>279</v>
      </c>
      <c r="F31" s="11">
        <f t="shared" ref="F31" si="10">SUM(F27:F30)</f>
        <v>279</v>
      </c>
      <c r="G31" s="11">
        <f t="shared" ref="G31" si="11">SUM(G27:G30)</f>
        <v>279</v>
      </c>
      <c r="H31" s="11">
        <f>SUM(H27:H30)</f>
        <v>1127.5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28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20.375" bestFit="1" customWidth="1"/>
    <col min="3" max="3" width="12.125" bestFit="1" customWidth="1"/>
    <col min="4" max="8" width="8.5" bestFit="1" customWidth="1"/>
  </cols>
  <sheetData>
    <row r="3" spans="1:8" x14ac:dyDescent="0.25">
      <c r="B3" s="8" t="s">
        <v>69</v>
      </c>
    </row>
    <row r="4" spans="1:8" x14ac:dyDescent="0.25">
      <c r="A4" s="15"/>
      <c r="B4" s="16"/>
      <c r="C4" s="17" t="s">
        <v>59</v>
      </c>
      <c r="D4" s="17" t="s">
        <v>4</v>
      </c>
      <c r="E4" s="17" t="s">
        <v>5</v>
      </c>
      <c r="F4" s="17" t="s">
        <v>6</v>
      </c>
      <c r="G4" s="17" t="s">
        <v>7</v>
      </c>
      <c r="H4" s="17">
        <v>2021</v>
      </c>
    </row>
    <row r="5" spans="1:8" x14ac:dyDescent="0.25">
      <c r="A5" s="15"/>
      <c r="B5" s="16"/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  <c r="H5" s="18" t="s">
        <v>9</v>
      </c>
    </row>
    <row r="7" spans="1:8" x14ac:dyDescent="0.25">
      <c r="A7">
        <v>1</v>
      </c>
      <c r="B7" t="s">
        <v>72</v>
      </c>
      <c r="C7" s="5">
        <v>152</v>
      </c>
      <c r="D7" s="5">
        <f>C7+D16-D25</f>
        <v>297</v>
      </c>
      <c r="E7" s="5">
        <f>D7+E16-E25</f>
        <v>297</v>
      </c>
      <c r="F7" s="5">
        <f>E7+F16-F25</f>
        <v>297</v>
      </c>
      <c r="G7" s="5">
        <f>F7+G16-G25</f>
        <v>297</v>
      </c>
      <c r="H7" s="6">
        <f>G7</f>
        <v>297</v>
      </c>
    </row>
    <row r="8" spans="1:8" x14ac:dyDescent="0.25">
      <c r="A8">
        <v>2</v>
      </c>
      <c r="B8" t="s">
        <v>73</v>
      </c>
      <c r="C8" s="5">
        <v>37</v>
      </c>
      <c r="D8" s="5">
        <f>C8+D17-D26</f>
        <v>160</v>
      </c>
      <c r="E8" s="5">
        <f>D8+E17-E26</f>
        <v>280.5333333333333</v>
      </c>
      <c r="F8" s="5">
        <f t="shared" ref="F8:G9" si="0">E8+F17-F26</f>
        <v>253.33333333333331</v>
      </c>
      <c r="G8" s="5">
        <f t="shared" si="0"/>
        <v>317.33333333333326</v>
      </c>
      <c r="H8" s="6">
        <f>G8</f>
        <v>317.33333333333326</v>
      </c>
    </row>
    <row r="9" spans="1:8" x14ac:dyDescent="0.25">
      <c r="A9">
        <v>3</v>
      </c>
      <c r="B9" t="s">
        <v>74</v>
      </c>
      <c r="C9" s="5">
        <v>13</v>
      </c>
      <c r="D9" s="5">
        <f>C9+D18-D27</f>
        <v>151</v>
      </c>
      <c r="E9" s="5">
        <f>D9+E18-E27</f>
        <v>151</v>
      </c>
      <c r="F9" s="5">
        <f t="shared" si="0"/>
        <v>151</v>
      </c>
      <c r="G9" s="5">
        <f t="shared" si="0"/>
        <v>151</v>
      </c>
      <c r="H9" s="6">
        <f>G9</f>
        <v>151</v>
      </c>
    </row>
    <row r="10" spans="1:8" x14ac:dyDescent="0.25">
      <c r="A10" s="12"/>
      <c r="B10" s="12"/>
      <c r="C10" s="11">
        <f>SUM(C7:C9)</f>
        <v>202</v>
      </c>
      <c r="D10" s="11">
        <f t="shared" ref="D10:G10" si="1">SUM(D7:D9)</f>
        <v>608</v>
      </c>
      <c r="E10" s="11">
        <f t="shared" si="1"/>
        <v>728.5333333333333</v>
      </c>
      <c r="F10" s="11">
        <f t="shared" si="1"/>
        <v>701.33333333333326</v>
      </c>
      <c r="G10" s="11">
        <f t="shared" si="1"/>
        <v>765.33333333333326</v>
      </c>
      <c r="H10" s="11">
        <f>SUM(H7:H9)</f>
        <v>765.33333333333326</v>
      </c>
    </row>
    <row r="11" spans="1:8" x14ac:dyDescent="0.25">
      <c r="C11" s="5"/>
      <c r="D11" s="5"/>
      <c r="E11" s="5"/>
      <c r="F11" s="5"/>
      <c r="G11" s="5"/>
      <c r="H11" s="5"/>
    </row>
    <row r="12" spans="1:8" x14ac:dyDescent="0.25">
      <c r="B12" s="8" t="s">
        <v>70</v>
      </c>
      <c r="C12" s="5"/>
      <c r="D12" s="5"/>
      <c r="E12" s="5"/>
      <c r="F12" s="5"/>
      <c r="G12" s="5"/>
      <c r="H12" s="5"/>
    </row>
    <row r="13" spans="1:8" x14ac:dyDescent="0.25">
      <c r="A13" s="15"/>
      <c r="B13" s="16"/>
      <c r="C13" s="17"/>
      <c r="D13" s="17" t="s">
        <v>4</v>
      </c>
      <c r="E13" s="17" t="s">
        <v>5</v>
      </c>
      <c r="F13" s="17" t="s">
        <v>6</v>
      </c>
      <c r="G13" s="17" t="s">
        <v>7</v>
      </c>
      <c r="H13" s="17">
        <v>2021</v>
      </c>
    </row>
    <row r="14" spans="1:8" x14ac:dyDescent="0.25">
      <c r="A14" s="15"/>
      <c r="B14" s="16"/>
      <c r="C14" s="18"/>
      <c r="D14" s="18" t="s">
        <v>9</v>
      </c>
      <c r="E14" s="18" t="s">
        <v>9</v>
      </c>
      <c r="F14" s="18" t="s">
        <v>9</v>
      </c>
      <c r="G14" s="18" t="s">
        <v>9</v>
      </c>
      <c r="H14" s="18" t="s">
        <v>9</v>
      </c>
    </row>
    <row r="16" spans="1:8" x14ac:dyDescent="0.25">
      <c r="A16">
        <v>1</v>
      </c>
      <c r="B16" t="s">
        <v>72</v>
      </c>
      <c r="C16" s="5"/>
      <c r="D16" s="5">
        <v>145</v>
      </c>
      <c r="E16" s="5"/>
      <c r="F16" s="5"/>
      <c r="G16" s="5"/>
      <c r="H16" s="6">
        <f>SUM(D16:G16)</f>
        <v>145</v>
      </c>
    </row>
    <row r="17" spans="1:8" x14ac:dyDescent="0.25">
      <c r="A17">
        <v>2</v>
      </c>
      <c r="B17" t="s">
        <v>73</v>
      </c>
      <c r="C17" s="5"/>
      <c r="D17" s="5">
        <v>262</v>
      </c>
      <c r="E17" s="5">
        <f>(PL!D7+PL!D11+PL!D15)*1.2</f>
        <v>420.8</v>
      </c>
      <c r="F17" s="5">
        <f>(PL!E7+PL!E11+PL!E15)*1.2</f>
        <v>380</v>
      </c>
      <c r="G17" s="5">
        <f>(PL!F7+PL!F11+PL!F15)*1.2</f>
        <v>476</v>
      </c>
      <c r="H17" s="6">
        <f>SUM(D17:G17)</f>
        <v>1538.8</v>
      </c>
    </row>
    <row r="18" spans="1:8" x14ac:dyDescent="0.25">
      <c r="A18">
        <v>3</v>
      </c>
      <c r="B18" t="s">
        <v>74</v>
      </c>
      <c r="C18" s="5"/>
      <c r="D18" s="5">
        <v>138</v>
      </c>
      <c r="E18" s="5"/>
      <c r="F18" s="5"/>
      <c r="G18" s="5"/>
      <c r="H18" s="6">
        <f>SUM(D18:G18)</f>
        <v>138</v>
      </c>
    </row>
    <row r="19" spans="1:8" x14ac:dyDescent="0.25">
      <c r="A19" s="12"/>
      <c r="B19" s="12"/>
      <c r="C19" s="11">
        <f>SUM(C16:C18)</f>
        <v>0</v>
      </c>
      <c r="D19" s="11">
        <f t="shared" ref="D19:G19" si="2">SUM(D16:D18)</f>
        <v>545</v>
      </c>
      <c r="E19" s="11">
        <f t="shared" si="2"/>
        <v>420.8</v>
      </c>
      <c r="F19" s="11">
        <f t="shared" si="2"/>
        <v>380</v>
      </c>
      <c r="G19" s="11">
        <f t="shared" si="2"/>
        <v>476</v>
      </c>
      <c r="H19" s="10"/>
    </row>
    <row r="21" spans="1:8" x14ac:dyDescent="0.25">
      <c r="B21" s="8" t="s">
        <v>71</v>
      </c>
    </row>
    <row r="22" spans="1:8" x14ac:dyDescent="0.25">
      <c r="A22" s="15"/>
      <c r="B22" s="16"/>
      <c r="C22" s="17"/>
      <c r="D22" s="17" t="s">
        <v>4</v>
      </c>
      <c r="E22" s="17" t="s">
        <v>5</v>
      </c>
      <c r="F22" s="17" t="s">
        <v>6</v>
      </c>
      <c r="G22" s="17" t="s">
        <v>7</v>
      </c>
      <c r="H22" s="17">
        <v>2021</v>
      </c>
    </row>
    <row r="23" spans="1:8" x14ac:dyDescent="0.25">
      <c r="A23" s="15"/>
      <c r="B23" s="16"/>
      <c r="C23" s="18"/>
      <c r="D23" s="18" t="s">
        <v>9</v>
      </c>
      <c r="E23" s="18" t="s">
        <v>9</v>
      </c>
      <c r="F23" s="18" t="s">
        <v>9</v>
      </c>
      <c r="G23" s="18" t="s">
        <v>9</v>
      </c>
      <c r="H23" s="18" t="s">
        <v>9</v>
      </c>
    </row>
    <row r="25" spans="1:8" x14ac:dyDescent="0.25">
      <c r="A25">
        <v>1</v>
      </c>
      <c r="B25" t="s">
        <v>72</v>
      </c>
      <c r="C25" s="5"/>
      <c r="D25" s="5">
        <v>0</v>
      </c>
      <c r="E25" s="5"/>
      <c r="F25" s="5"/>
      <c r="G25" s="5"/>
      <c r="H25" s="49">
        <v>300</v>
      </c>
    </row>
    <row r="26" spans="1:8" x14ac:dyDescent="0.25">
      <c r="A26">
        <v>2</v>
      </c>
      <c r="B26" t="s">
        <v>73</v>
      </c>
      <c r="C26" s="5"/>
      <c r="D26" s="5">
        <v>139</v>
      </c>
      <c r="E26" s="5">
        <f>D8+E17/3</f>
        <v>300.26666666666665</v>
      </c>
      <c r="F26" s="5">
        <f>E8+F17/3</f>
        <v>407.2</v>
      </c>
      <c r="G26" s="5">
        <f>F8+G17/3</f>
        <v>412</v>
      </c>
      <c r="H26" s="6">
        <f>SUM(D26:G26)</f>
        <v>1258.4666666666667</v>
      </c>
    </row>
    <row r="27" spans="1:8" x14ac:dyDescent="0.25">
      <c r="A27">
        <v>3</v>
      </c>
      <c r="B27" t="s">
        <v>74</v>
      </c>
      <c r="C27" s="5"/>
      <c r="D27" s="5">
        <v>0</v>
      </c>
      <c r="E27" s="5"/>
      <c r="F27" s="5"/>
      <c r="G27" s="5"/>
      <c r="H27" s="49">
        <v>300</v>
      </c>
    </row>
    <row r="28" spans="1:8" x14ac:dyDescent="0.25">
      <c r="A28" s="12"/>
      <c r="B28" s="12"/>
      <c r="C28" s="11">
        <f>SUM(C25:C27)</f>
        <v>0</v>
      </c>
      <c r="D28" s="11">
        <f t="shared" ref="D28:G28" si="3">SUM(D25:D27)</f>
        <v>139</v>
      </c>
      <c r="E28" s="11">
        <f t="shared" si="3"/>
        <v>300.26666666666665</v>
      </c>
      <c r="F28" s="11">
        <f t="shared" si="3"/>
        <v>407.2</v>
      </c>
      <c r="G28" s="11">
        <f t="shared" si="3"/>
        <v>412</v>
      </c>
      <c r="H28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H30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23" bestFit="1" customWidth="1"/>
    <col min="3" max="3" width="12.125" bestFit="1" customWidth="1"/>
    <col min="4" max="8" width="8.5" bestFit="1" customWidth="1"/>
  </cols>
  <sheetData>
    <row r="5" spans="1:8" x14ac:dyDescent="0.25">
      <c r="B5" s="8" t="s">
        <v>69</v>
      </c>
    </row>
    <row r="6" spans="1:8" x14ac:dyDescent="0.25">
      <c r="A6" s="15"/>
      <c r="B6" s="16"/>
      <c r="C6" s="17" t="s">
        <v>59</v>
      </c>
      <c r="D6" s="17" t="s">
        <v>4</v>
      </c>
      <c r="E6" s="17" t="s">
        <v>5</v>
      </c>
      <c r="F6" s="17" t="s">
        <v>6</v>
      </c>
      <c r="G6" s="17" t="s">
        <v>7</v>
      </c>
      <c r="H6" s="17">
        <v>2021</v>
      </c>
    </row>
    <row r="7" spans="1:8" x14ac:dyDescent="0.25">
      <c r="A7" s="15"/>
      <c r="B7" s="16"/>
      <c r="C7" s="18" t="s">
        <v>9</v>
      </c>
      <c r="D7" s="18" t="s">
        <v>9</v>
      </c>
      <c r="E7" s="18" t="s">
        <v>9</v>
      </c>
      <c r="F7" s="18" t="s">
        <v>9</v>
      </c>
      <c r="G7" s="18" t="s">
        <v>9</v>
      </c>
      <c r="H7" s="18" t="s">
        <v>9</v>
      </c>
    </row>
    <row r="9" spans="1:8" x14ac:dyDescent="0.25">
      <c r="A9">
        <v>1</v>
      </c>
      <c r="B9" t="s">
        <v>131</v>
      </c>
      <c r="C9" s="5">
        <v>8</v>
      </c>
      <c r="D9" s="5">
        <f>C9+D18-D27</f>
        <v>22</v>
      </c>
      <c r="E9" s="5">
        <f>D9+E18-E27</f>
        <v>10</v>
      </c>
      <c r="F9" s="5">
        <f>E9+F18-F27</f>
        <v>5</v>
      </c>
      <c r="G9" s="5">
        <f>F9+G18-G27</f>
        <v>0</v>
      </c>
      <c r="H9" s="6">
        <f>G9</f>
        <v>0</v>
      </c>
    </row>
    <row r="10" spans="1:8" x14ac:dyDescent="0.25">
      <c r="A10">
        <v>2</v>
      </c>
      <c r="B10" t="s">
        <v>129</v>
      </c>
      <c r="C10" s="5">
        <v>18</v>
      </c>
      <c r="D10" s="5">
        <f>C10+D19-D28</f>
        <v>81</v>
      </c>
      <c r="E10" s="5">
        <f>D10+E19-E28</f>
        <v>1862.1866666666665</v>
      </c>
      <c r="F10" s="5">
        <f t="shared" ref="F10:G11" si="0">E10+F19-F28</f>
        <v>1387.7666666666664</v>
      </c>
      <c r="G10" s="5">
        <f t="shared" si="0"/>
        <v>849.29170266666654</v>
      </c>
      <c r="H10" s="6">
        <f t="shared" ref="H10:H11" si="1">G10</f>
        <v>849.29170266666654</v>
      </c>
    </row>
    <row r="11" spans="1:8" x14ac:dyDescent="0.25">
      <c r="A11">
        <v>3</v>
      </c>
      <c r="B11" t="s">
        <v>130</v>
      </c>
      <c r="C11" s="5">
        <v>0</v>
      </c>
      <c r="D11" s="5">
        <f>C11+D20-D29</f>
        <v>0</v>
      </c>
      <c r="E11" s="5">
        <f>D11+E20-E29</f>
        <v>0</v>
      </c>
      <c r="F11" s="5">
        <f t="shared" si="0"/>
        <v>0</v>
      </c>
      <c r="G11" s="5">
        <f t="shared" si="0"/>
        <v>0</v>
      </c>
      <c r="H11" s="6">
        <f t="shared" si="1"/>
        <v>0</v>
      </c>
    </row>
    <row r="12" spans="1:8" x14ac:dyDescent="0.25">
      <c r="A12" s="12"/>
      <c r="B12" s="12"/>
      <c r="C12" s="11">
        <f>SUM(C9:C11)</f>
        <v>26</v>
      </c>
      <c r="D12" s="11">
        <f t="shared" ref="D12:G12" si="2">SUM(D9:D11)</f>
        <v>103</v>
      </c>
      <c r="E12" s="11">
        <f t="shared" si="2"/>
        <v>1872.1866666666665</v>
      </c>
      <c r="F12" s="11">
        <f t="shared" si="2"/>
        <v>1392.7666666666664</v>
      </c>
      <c r="G12" s="11">
        <f t="shared" si="2"/>
        <v>849.29170266666654</v>
      </c>
      <c r="H12" s="11">
        <f>SUM(H9:H11)</f>
        <v>849.29170266666654</v>
      </c>
    </row>
    <row r="13" spans="1:8" x14ac:dyDescent="0.25">
      <c r="C13" s="5"/>
      <c r="D13" s="5"/>
      <c r="E13" s="5"/>
      <c r="F13" s="5"/>
      <c r="G13" s="5"/>
      <c r="H13" s="5"/>
    </row>
    <row r="14" spans="1:8" x14ac:dyDescent="0.25">
      <c r="B14" s="8" t="s">
        <v>132</v>
      </c>
      <c r="C14" s="5"/>
      <c r="D14" s="5"/>
      <c r="E14" s="5"/>
      <c r="F14" s="5"/>
      <c r="G14" s="5"/>
      <c r="H14" s="5"/>
    </row>
    <row r="15" spans="1:8" x14ac:dyDescent="0.25">
      <c r="A15" s="15"/>
      <c r="B15" s="16"/>
      <c r="C15" s="17"/>
      <c r="D15" s="17" t="s">
        <v>4</v>
      </c>
      <c r="E15" s="17" t="s">
        <v>5</v>
      </c>
      <c r="F15" s="17" t="s">
        <v>6</v>
      </c>
      <c r="G15" s="17" t="s">
        <v>7</v>
      </c>
      <c r="H15" s="17">
        <v>2021</v>
      </c>
    </row>
    <row r="16" spans="1:8" x14ac:dyDescent="0.25">
      <c r="A16" s="15"/>
      <c r="B16" s="16"/>
      <c r="C16" s="18"/>
      <c r="D16" s="18" t="s">
        <v>9</v>
      </c>
      <c r="E16" s="18" t="s">
        <v>9</v>
      </c>
      <c r="F16" s="18" t="s">
        <v>9</v>
      </c>
      <c r="G16" s="18" t="s">
        <v>9</v>
      </c>
      <c r="H16" s="18" t="s">
        <v>9</v>
      </c>
    </row>
    <row r="18" spans="1:8" x14ac:dyDescent="0.25">
      <c r="A18">
        <v>1</v>
      </c>
      <c r="B18" t="s">
        <v>131</v>
      </c>
      <c r="C18" s="5"/>
      <c r="D18" s="5">
        <v>16</v>
      </c>
      <c r="E18" s="5">
        <v>0</v>
      </c>
      <c r="F18" s="5">
        <v>0</v>
      </c>
      <c r="G18" s="5">
        <v>0</v>
      </c>
      <c r="H18" s="6">
        <f>SUM(D18:G18)</f>
        <v>16</v>
      </c>
    </row>
    <row r="19" spans="1:8" x14ac:dyDescent="0.25">
      <c r="A19">
        <v>2</v>
      </c>
      <c r="B19" t="s">
        <v>129</v>
      </c>
      <c r="C19" s="5"/>
      <c r="D19" s="5">
        <v>547</v>
      </c>
      <c r="E19" s="5">
        <f>Receivables!E28+2000</f>
        <v>2300.2666666666664</v>
      </c>
      <c r="F19" s="5">
        <f>Receivables!F28</f>
        <v>407.2</v>
      </c>
      <c r="G19" s="5">
        <f>Receivables!G28</f>
        <v>412</v>
      </c>
      <c r="H19" s="6">
        <f>SUM(D19:G19)</f>
        <v>3666.4666666666662</v>
      </c>
    </row>
    <row r="20" spans="1:8" x14ac:dyDescent="0.25">
      <c r="A20">
        <v>3</v>
      </c>
      <c r="B20" t="s">
        <v>130</v>
      </c>
      <c r="C20" s="5"/>
      <c r="D20" s="5">
        <v>0</v>
      </c>
      <c r="E20" s="5"/>
      <c r="F20" s="5"/>
      <c r="G20" s="5"/>
      <c r="H20" s="6">
        <f>SUM(D20:G20)</f>
        <v>0</v>
      </c>
    </row>
    <row r="21" spans="1:8" x14ac:dyDescent="0.25">
      <c r="A21" s="12"/>
      <c r="B21" s="12"/>
      <c r="C21" s="11">
        <f>SUM(C18:C20)</f>
        <v>0</v>
      </c>
      <c r="D21" s="11">
        <f t="shared" ref="D21:G21" si="3">SUM(D18:D20)</f>
        <v>563</v>
      </c>
      <c r="E21" s="11">
        <f t="shared" si="3"/>
        <v>2300.2666666666664</v>
      </c>
      <c r="F21" s="11">
        <f t="shared" si="3"/>
        <v>407.2</v>
      </c>
      <c r="G21" s="11">
        <f t="shared" si="3"/>
        <v>412</v>
      </c>
      <c r="H21" s="10"/>
    </row>
    <row r="23" spans="1:8" x14ac:dyDescent="0.25">
      <c r="B23" s="8" t="s">
        <v>133</v>
      </c>
    </row>
    <row r="24" spans="1:8" x14ac:dyDescent="0.25">
      <c r="A24" s="15"/>
      <c r="B24" s="16"/>
      <c r="C24" s="17"/>
      <c r="D24" s="17" t="s">
        <v>4</v>
      </c>
      <c r="E24" s="17" t="s">
        <v>5</v>
      </c>
      <c r="F24" s="17" t="s">
        <v>6</v>
      </c>
      <c r="G24" s="17" t="s">
        <v>7</v>
      </c>
      <c r="H24" s="17">
        <v>2021</v>
      </c>
    </row>
    <row r="25" spans="1:8" x14ac:dyDescent="0.25">
      <c r="A25" s="15"/>
      <c r="B25" s="16"/>
      <c r="C25" s="18"/>
      <c r="D25" s="18" t="s">
        <v>9</v>
      </c>
      <c r="E25" s="18" t="s">
        <v>9</v>
      </c>
      <c r="F25" s="18" t="s">
        <v>9</v>
      </c>
      <c r="G25" s="18" t="s">
        <v>9</v>
      </c>
      <c r="H25" s="18" t="s">
        <v>9</v>
      </c>
    </row>
    <row r="27" spans="1:8" x14ac:dyDescent="0.25">
      <c r="A27">
        <v>1</v>
      </c>
      <c r="B27" t="s">
        <v>131</v>
      </c>
      <c r="C27" s="5"/>
      <c r="D27" s="5">
        <v>2</v>
      </c>
      <c r="E27" s="5">
        <v>12</v>
      </c>
      <c r="F27" s="5">
        <v>5</v>
      </c>
      <c r="G27" s="5">
        <v>5</v>
      </c>
      <c r="H27" s="6">
        <f>SUM(D27:G27)</f>
        <v>24</v>
      </c>
    </row>
    <row r="28" spans="1:8" x14ac:dyDescent="0.25">
      <c r="A28">
        <v>2</v>
      </c>
      <c r="B28" t="s">
        <v>129</v>
      </c>
      <c r="C28" s="5"/>
      <c r="D28" s="5">
        <f>484</f>
        <v>484</v>
      </c>
      <c r="E28" s="5">
        <f>Tax!E34+Paybles!E28+Personal!E25</f>
        <v>519.07999999999993</v>
      </c>
      <c r="F28" s="5">
        <f>Tax!F34+Paybles!F28+Personal!F25</f>
        <v>881.62</v>
      </c>
      <c r="G28" s="5">
        <f>Tax!G34+Paybles!G28+Personal!G25</f>
        <v>950.47496399999989</v>
      </c>
      <c r="H28" s="6">
        <f>SUM(D28:G28)</f>
        <v>2835.1749639999998</v>
      </c>
    </row>
    <row r="29" spans="1:8" x14ac:dyDescent="0.25">
      <c r="A29">
        <v>3</v>
      </c>
      <c r="B29" t="s">
        <v>130</v>
      </c>
      <c r="C29" s="5"/>
      <c r="D29" s="5">
        <v>0</v>
      </c>
      <c r="E29" s="5">
        <v>0</v>
      </c>
      <c r="F29" s="5">
        <v>0</v>
      </c>
      <c r="G29" s="5">
        <v>0</v>
      </c>
      <c r="H29" s="6">
        <f>SUM(D29:G29)</f>
        <v>0</v>
      </c>
    </row>
    <row r="30" spans="1:8" x14ac:dyDescent="0.25">
      <c r="A30" s="12"/>
      <c r="B30" s="12"/>
      <c r="C30" s="11">
        <f>SUM(C27:C29)</f>
        <v>0</v>
      </c>
      <c r="D30" s="11">
        <f t="shared" ref="D30:G30" si="4">SUM(D27:D29)</f>
        <v>486</v>
      </c>
      <c r="E30" s="11">
        <f t="shared" si="4"/>
        <v>531.07999999999993</v>
      </c>
      <c r="F30" s="11">
        <f t="shared" si="4"/>
        <v>886.62</v>
      </c>
      <c r="G30" s="11">
        <f t="shared" si="4"/>
        <v>955.47496399999989</v>
      </c>
      <c r="H30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H34"/>
  <sheetViews>
    <sheetView workbookViewId="0">
      <selection sqref="A1:XFD1048576"/>
    </sheetView>
  </sheetViews>
  <sheetFormatPr defaultColWidth="11" defaultRowHeight="15.75" x14ac:dyDescent="0.25"/>
  <cols>
    <col min="1" max="1" width="2.125" bestFit="1" customWidth="1"/>
    <col min="2" max="2" width="20.5" bestFit="1" customWidth="1"/>
    <col min="3" max="3" width="12.125" bestFit="1" customWidth="1"/>
    <col min="4" max="8" width="8.5" bestFit="1" customWidth="1"/>
  </cols>
  <sheetData>
    <row r="3" spans="1:8" x14ac:dyDescent="0.25">
      <c r="B3" s="8" t="s">
        <v>69</v>
      </c>
    </row>
    <row r="4" spans="1:8" x14ac:dyDescent="0.25">
      <c r="A4" s="15"/>
      <c r="B4" s="16"/>
      <c r="C4" s="17" t="s">
        <v>59</v>
      </c>
      <c r="D4" s="17" t="s">
        <v>4</v>
      </c>
      <c r="E4" s="17" t="s">
        <v>5</v>
      </c>
      <c r="F4" s="17" t="s">
        <v>6</v>
      </c>
      <c r="G4" s="17" t="s">
        <v>7</v>
      </c>
      <c r="H4" s="17">
        <v>2021</v>
      </c>
    </row>
    <row r="5" spans="1:8" x14ac:dyDescent="0.25">
      <c r="A5" s="15"/>
      <c r="B5" s="16"/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  <c r="H5" s="18" t="s">
        <v>9</v>
      </c>
    </row>
    <row r="7" spans="1:8" x14ac:dyDescent="0.25">
      <c r="A7">
        <v>1</v>
      </c>
      <c r="B7" t="s">
        <v>53</v>
      </c>
      <c r="C7" s="5">
        <v>7</v>
      </c>
      <c r="D7" s="5">
        <f t="shared" ref="D7:G11" si="0">C7+D18-D29</f>
        <v>7</v>
      </c>
      <c r="E7" s="5">
        <f t="shared" si="0"/>
        <v>0</v>
      </c>
      <c r="F7" s="5">
        <f t="shared" si="0"/>
        <v>-2</v>
      </c>
      <c r="G7" s="5">
        <f t="shared" si="0"/>
        <v>-4</v>
      </c>
      <c r="H7" s="6">
        <f>G7</f>
        <v>-4</v>
      </c>
    </row>
    <row r="8" spans="1:8" x14ac:dyDescent="0.25">
      <c r="A8">
        <v>2</v>
      </c>
      <c r="B8" t="s">
        <v>75</v>
      </c>
      <c r="C8" s="5">
        <v>2</v>
      </c>
      <c r="D8" s="5">
        <f t="shared" si="0"/>
        <v>0</v>
      </c>
      <c r="E8" s="5">
        <f t="shared" si="0"/>
        <v>-54.466666666666669</v>
      </c>
      <c r="F8" s="5">
        <f t="shared" si="0"/>
        <v>-140.65333333333336</v>
      </c>
      <c r="G8" s="5">
        <f t="shared" si="0"/>
        <v>-195.33748200000005</v>
      </c>
      <c r="H8" s="6">
        <f t="shared" ref="H8:H11" si="1">G8</f>
        <v>-195.33748200000005</v>
      </c>
    </row>
    <row r="9" spans="1:8" x14ac:dyDescent="0.25">
      <c r="A9">
        <v>3</v>
      </c>
      <c r="B9" t="s">
        <v>76</v>
      </c>
      <c r="C9" s="5">
        <v>3</v>
      </c>
      <c r="D9" s="5">
        <f t="shared" si="0"/>
        <v>4</v>
      </c>
      <c r="E9" s="5">
        <f t="shared" si="0"/>
        <v>9.4</v>
      </c>
      <c r="F9" s="5">
        <f t="shared" si="0"/>
        <v>14.8</v>
      </c>
      <c r="G9" s="5">
        <f t="shared" si="0"/>
        <v>20.200000000000003</v>
      </c>
      <c r="H9" s="6">
        <f t="shared" si="1"/>
        <v>20.200000000000003</v>
      </c>
    </row>
    <row r="10" spans="1:8" x14ac:dyDescent="0.25">
      <c r="A10">
        <v>4</v>
      </c>
      <c r="B10" t="s">
        <v>77</v>
      </c>
      <c r="C10" s="5"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6">
        <f t="shared" si="1"/>
        <v>0</v>
      </c>
    </row>
    <row r="11" spans="1:8" x14ac:dyDescent="0.25">
      <c r="A11">
        <v>5</v>
      </c>
      <c r="B11" t="s">
        <v>78</v>
      </c>
      <c r="C11" s="5">
        <v>1</v>
      </c>
      <c r="D11" s="5">
        <f t="shared" si="0"/>
        <v>1</v>
      </c>
      <c r="E11" s="5">
        <f t="shared" si="0"/>
        <v>5.9399999999999995</v>
      </c>
      <c r="F11" s="5">
        <f t="shared" si="0"/>
        <v>6.1200000000000045</v>
      </c>
      <c r="G11" s="5">
        <f t="shared" si="0"/>
        <v>6.120000000000001</v>
      </c>
      <c r="H11" s="6">
        <f t="shared" si="1"/>
        <v>6.120000000000001</v>
      </c>
    </row>
    <row r="12" spans="1:8" x14ac:dyDescent="0.25">
      <c r="A12" s="12"/>
      <c r="B12" s="12"/>
      <c r="C12" s="11">
        <f>SUM(C7:C11)</f>
        <v>13</v>
      </c>
      <c r="D12" s="11">
        <f t="shared" ref="D12:G12" si="2">SUM(D7:D9)</f>
        <v>11</v>
      </c>
      <c r="E12" s="11">
        <f t="shared" si="2"/>
        <v>-45.06666666666667</v>
      </c>
      <c r="F12" s="11">
        <f t="shared" si="2"/>
        <v>-127.85333333333337</v>
      </c>
      <c r="G12" s="11">
        <f t="shared" si="2"/>
        <v>-179.13748200000003</v>
      </c>
      <c r="H12" s="10"/>
    </row>
    <row r="13" spans="1:8" x14ac:dyDescent="0.25">
      <c r="C13" s="5"/>
      <c r="D13" s="5"/>
      <c r="E13" s="5"/>
      <c r="F13" s="5"/>
      <c r="G13" s="5"/>
      <c r="H13" s="5"/>
    </row>
    <row r="14" spans="1:8" x14ac:dyDescent="0.25">
      <c r="B14" s="8" t="s">
        <v>70</v>
      </c>
      <c r="C14" s="5"/>
      <c r="D14" s="5"/>
      <c r="E14" s="5"/>
      <c r="F14" s="5"/>
      <c r="G14" s="5"/>
      <c r="H14" s="5"/>
    </row>
    <row r="15" spans="1:8" x14ac:dyDescent="0.25">
      <c r="A15" s="15"/>
      <c r="B15" s="16"/>
      <c r="C15" s="17"/>
      <c r="D15" s="17" t="s">
        <v>4</v>
      </c>
      <c r="E15" s="17" t="s">
        <v>5</v>
      </c>
      <c r="F15" s="17" t="s">
        <v>6</v>
      </c>
      <c r="G15" s="17" t="s">
        <v>7</v>
      </c>
      <c r="H15" s="17">
        <v>2021</v>
      </c>
    </row>
    <row r="16" spans="1:8" x14ac:dyDescent="0.25">
      <c r="A16" s="15"/>
      <c r="B16" s="16"/>
      <c r="C16" s="18"/>
      <c r="D16" s="18" t="s">
        <v>9</v>
      </c>
      <c r="E16" s="18" t="s">
        <v>9</v>
      </c>
      <c r="F16" s="18" t="s">
        <v>9</v>
      </c>
      <c r="G16" s="18" t="s">
        <v>9</v>
      </c>
      <c r="H16" s="18" t="s">
        <v>9</v>
      </c>
    </row>
    <row r="18" spans="1:8" x14ac:dyDescent="0.25">
      <c r="A18">
        <v>1</v>
      </c>
      <c r="B18" t="s">
        <v>53</v>
      </c>
      <c r="C18" s="5"/>
      <c r="D18" s="5">
        <v>0</v>
      </c>
      <c r="E18" s="5">
        <v>0</v>
      </c>
      <c r="F18" s="5">
        <v>0</v>
      </c>
      <c r="G18" s="5">
        <v>0</v>
      </c>
      <c r="H18" s="6">
        <f>SUM(D18:G18)</f>
        <v>0</v>
      </c>
    </row>
    <row r="19" spans="1:8" x14ac:dyDescent="0.25">
      <c r="A19">
        <v>2</v>
      </c>
      <c r="B19" t="s">
        <v>75</v>
      </c>
      <c r="C19" s="5"/>
      <c r="D19" s="5">
        <v>2</v>
      </c>
      <c r="E19" s="5">
        <f>Receivables!E17/1.2*0.2-Paybles!E16/1.2*0.2</f>
        <v>-54.466666666666669</v>
      </c>
      <c r="F19" s="5">
        <f>Receivables!F17/1.2*0.2-Paybles!F16/1.2*0.2</f>
        <v>-86.186666666666696</v>
      </c>
      <c r="G19" s="5">
        <f>Receivables!G17/1.2*0.2-Paybles!G16/1.2*0.2</f>
        <v>-54.684148666666687</v>
      </c>
      <c r="H19" s="6">
        <f t="shared" ref="H19:H22" si="3">SUM(D19:G19)</f>
        <v>-193.33748200000005</v>
      </c>
    </row>
    <row r="20" spans="1:8" x14ac:dyDescent="0.25">
      <c r="A20">
        <v>3</v>
      </c>
      <c r="B20" t="s">
        <v>76</v>
      </c>
      <c r="C20" s="5"/>
      <c r="D20" s="5">
        <v>5</v>
      </c>
      <c r="E20" s="5">
        <f>Expenses!D23*10%</f>
        <v>5.4</v>
      </c>
      <c r="F20" s="5">
        <f>Expenses!E23*10%</f>
        <v>5.4</v>
      </c>
      <c r="G20" s="5">
        <f>Expenses!F23*10%</f>
        <v>5.4</v>
      </c>
      <c r="H20" s="6">
        <f t="shared" si="3"/>
        <v>21.200000000000003</v>
      </c>
    </row>
    <row r="21" spans="1:8" x14ac:dyDescent="0.25">
      <c r="A21">
        <v>4</v>
      </c>
      <c r="B21" t="s">
        <v>77</v>
      </c>
      <c r="C21" s="5"/>
      <c r="D21" s="5">
        <v>10</v>
      </c>
      <c r="E21" s="5">
        <v>10</v>
      </c>
      <c r="F21" s="5">
        <v>10</v>
      </c>
      <c r="G21" s="5">
        <v>10</v>
      </c>
      <c r="H21" s="6">
        <f t="shared" si="3"/>
        <v>40</v>
      </c>
    </row>
    <row r="22" spans="1:8" x14ac:dyDescent="0.25">
      <c r="A22">
        <v>5</v>
      </c>
      <c r="B22" t="s">
        <v>78</v>
      </c>
      <c r="C22" s="5"/>
      <c r="D22" s="5">
        <v>3</v>
      </c>
      <c r="E22" s="5">
        <f>Expenses!D24</f>
        <v>17.82</v>
      </c>
      <c r="F22" s="5">
        <f>Expenses!E24</f>
        <v>18.360000000000003</v>
      </c>
      <c r="G22" s="5">
        <f>Expenses!F24</f>
        <v>18.360000000000003</v>
      </c>
      <c r="H22" s="6">
        <f t="shared" si="3"/>
        <v>57.540000000000006</v>
      </c>
    </row>
    <row r="23" spans="1:8" x14ac:dyDescent="0.25">
      <c r="A23" s="12"/>
      <c r="B23" s="12"/>
      <c r="C23" s="11">
        <f>SUM(C18:C22)</f>
        <v>0</v>
      </c>
      <c r="D23" s="11">
        <f t="shared" ref="D23:G23" si="4">SUM(D18:D22)</f>
        <v>20</v>
      </c>
      <c r="E23" s="11">
        <f t="shared" si="4"/>
        <v>-21.24666666666667</v>
      </c>
      <c r="F23" s="11">
        <f t="shared" si="4"/>
        <v>-52.426666666666691</v>
      </c>
      <c r="G23" s="11">
        <f t="shared" si="4"/>
        <v>-20.924148666666685</v>
      </c>
      <c r="H23" s="10"/>
    </row>
    <row r="25" spans="1:8" x14ac:dyDescent="0.25">
      <c r="B25" s="8" t="s">
        <v>71</v>
      </c>
    </row>
    <row r="26" spans="1:8" x14ac:dyDescent="0.25">
      <c r="A26" s="15"/>
      <c r="B26" s="16"/>
      <c r="C26" s="17"/>
      <c r="D26" s="17" t="s">
        <v>4</v>
      </c>
      <c r="E26" s="17" t="s">
        <v>5</v>
      </c>
      <c r="F26" s="17" t="s">
        <v>6</v>
      </c>
      <c r="G26" s="17" t="s">
        <v>7</v>
      </c>
      <c r="H26" s="17">
        <v>2021</v>
      </c>
    </row>
    <row r="27" spans="1:8" x14ac:dyDescent="0.25">
      <c r="A27" s="15"/>
      <c r="B27" s="16"/>
      <c r="C27" s="18"/>
      <c r="D27" s="18" t="s">
        <v>9</v>
      </c>
      <c r="E27" s="18" t="s">
        <v>9</v>
      </c>
      <c r="F27" s="18" t="s">
        <v>9</v>
      </c>
      <c r="G27" s="18" t="s">
        <v>9</v>
      </c>
      <c r="H27" s="18" t="s">
        <v>9</v>
      </c>
    </row>
    <row r="29" spans="1:8" x14ac:dyDescent="0.25">
      <c r="A29">
        <v>1</v>
      </c>
      <c r="B29" t="s">
        <v>53</v>
      </c>
      <c r="C29" s="5"/>
      <c r="D29" s="5">
        <v>0</v>
      </c>
      <c r="E29" s="5">
        <v>7</v>
      </c>
      <c r="F29" s="5">
        <v>2</v>
      </c>
      <c r="G29" s="5">
        <v>2</v>
      </c>
      <c r="H29" s="6">
        <f t="shared" ref="H29:H32" si="5">SUM(D29:G29)</f>
        <v>11</v>
      </c>
    </row>
    <row r="30" spans="1:8" x14ac:dyDescent="0.25">
      <c r="A30">
        <v>2</v>
      </c>
      <c r="B30" t="s">
        <v>75</v>
      </c>
      <c r="C30" s="5"/>
      <c r="D30" s="5">
        <v>4</v>
      </c>
      <c r="E30" s="5"/>
      <c r="F30" s="5"/>
      <c r="G30" s="5"/>
      <c r="H30" s="6">
        <f t="shared" si="5"/>
        <v>4</v>
      </c>
    </row>
    <row r="31" spans="1:8" x14ac:dyDescent="0.25">
      <c r="A31">
        <v>3</v>
      </c>
      <c r="B31" t="s">
        <v>76</v>
      </c>
      <c r="C31" s="5"/>
      <c r="D31" s="5">
        <v>4</v>
      </c>
      <c r="E31" s="5"/>
      <c r="F31" s="5"/>
      <c r="G31" s="5"/>
      <c r="H31" s="6">
        <f t="shared" si="5"/>
        <v>4</v>
      </c>
    </row>
    <row r="32" spans="1:8" x14ac:dyDescent="0.25">
      <c r="A32">
        <v>4</v>
      </c>
      <c r="B32" t="s">
        <v>77</v>
      </c>
      <c r="C32" s="5"/>
      <c r="D32" s="5">
        <v>10</v>
      </c>
      <c r="E32" s="5">
        <v>10</v>
      </c>
      <c r="F32" s="5">
        <v>10</v>
      </c>
      <c r="G32" s="5">
        <v>10</v>
      </c>
      <c r="H32" s="6">
        <f t="shared" si="5"/>
        <v>40</v>
      </c>
    </row>
    <row r="33" spans="1:8" x14ac:dyDescent="0.25">
      <c r="A33">
        <v>5</v>
      </c>
      <c r="B33" t="s">
        <v>78</v>
      </c>
      <c r="C33" s="5"/>
      <c r="D33" s="5">
        <v>3</v>
      </c>
      <c r="E33" s="5">
        <f>D11+E22/3*2</f>
        <v>12.88</v>
      </c>
      <c r="F33" s="5">
        <f>E11+F22/3*2</f>
        <v>18.18</v>
      </c>
      <c r="G33" s="5">
        <f>F11+G22/3*2</f>
        <v>18.360000000000007</v>
      </c>
      <c r="H33" s="6">
        <f>SUM(D33:G33)</f>
        <v>52.420000000000009</v>
      </c>
    </row>
    <row r="34" spans="1:8" x14ac:dyDescent="0.25">
      <c r="A34" s="12"/>
      <c r="B34" s="12"/>
      <c r="C34" s="11">
        <f>SUM(C29:C33)</f>
        <v>0</v>
      </c>
      <c r="D34" s="11">
        <f t="shared" ref="D34:G34" si="6">SUM(D29:D33)</f>
        <v>21</v>
      </c>
      <c r="E34" s="11">
        <f t="shared" si="6"/>
        <v>29.880000000000003</v>
      </c>
      <c r="F34" s="11">
        <f t="shared" si="6"/>
        <v>30.18</v>
      </c>
      <c r="G34" s="11">
        <f t="shared" si="6"/>
        <v>30.360000000000007</v>
      </c>
      <c r="H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BS</vt:lpstr>
      <vt:lpstr>PL</vt:lpstr>
      <vt:lpstr>CF</vt:lpstr>
      <vt:lpstr>Ratio</vt:lpstr>
      <vt:lpstr>FA</vt:lpstr>
      <vt:lpstr>Inventory</vt:lpstr>
      <vt:lpstr>Receivables</vt:lpstr>
      <vt:lpstr>Cash</vt:lpstr>
      <vt:lpstr>Tax</vt:lpstr>
      <vt:lpstr>Paybles</vt:lpstr>
      <vt:lpstr>Personal</vt:lpstr>
      <vt:lpstr>Loan</vt:lpstr>
      <vt:lpstr>Expenses</vt:lpstr>
      <vt:lpstr>WIP</vt:lpstr>
      <vt:lpstr>Income</vt:lpstr>
      <vt:lpstr>Production cost</vt:lpstr>
      <vt:lpstr>PC prototype</vt:lpstr>
      <vt:lpstr>R&amp;D expenses</vt:lpstr>
      <vt:lpstr>Sales and marketing</vt:lpstr>
      <vt:lpstr>GA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Стоян Малкочев</dc:creator>
  <cp:lastModifiedBy>Nadia Lazarova</cp:lastModifiedBy>
  <cp:lastPrinted>2021-05-13T05:36:21Z</cp:lastPrinted>
  <dcterms:created xsi:type="dcterms:W3CDTF">2021-04-26T07:15:26Z</dcterms:created>
  <dcterms:modified xsi:type="dcterms:W3CDTF">2021-05-13T08:49:30Z</dcterms:modified>
</cp:coreProperties>
</file>